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50" yWindow="570" windowWidth="28455" windowHeight="11955"/>
  </bookViews>
  <sheets>
    <sheet name="Информация" sheetId="2" r:id="rId1"/>
  </sheets>
  <definedNames>
    <definedName name="_xlnm.Print_Titles" localSheetId="0">Информация!$5:$7</definedName>
  </definedNames>
  <calcPr calcId="124519"/>
</workbook>
</file>

<file path=xl/calcChain.xml><?xml version="1.0" encoding="utf-8"?>
<calcChain xmlns="http://schemas.openxmlformats.org/spreadsheetml/2006/main">
  <c r="J90" i="2"/>
  <c r="J88"/>
  <c r="J87"/>
  <c r="J83"/>
  <c r="J82"/>
  <c r="J81"/>
  <c r="J80"/>
  <c r="J79"/>
  <c r="J78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9"/>
  <c r="J58"/>
  <c r="J57"/>
  <c r="J56"/>
  <c r="J55"/>
  <c r="J54"/>
  <c r="J53"/>
  <c r="J52"/>
  <c r="J51"/>
  <c r="J50"/>
  <c r="J48"/>
  <c r="J47"/>
  <c r="J46"/>
  <c r="J45"/>
  <c r="J44"/>
  <c r="J43"/>
  <c r="J42"/>
  <c r="J41"/>
  <c r="J40"/>
  <c r="J39"/>
  <c r="J37"/>
  <c r="J36"/>
  <c r="J35"/>
  <c r="J34"/>
  <c r="J33"/>
  <c r="J32"/>
  <c r="J31"/>
  <c r="J29"/>
  <c r="J28"/>
  <c r="J27"/>
  <c r="J26"/>
  <c r="J25"/>
  <c r="J23"/>
  <c r="J22"/>
  <c r="J21"/>
  <c r="J20"/>
  <c r="J19"/>
  <c r="J18"/>
  <c r="J17"/>
  <c r="J16"/>
  <c r="J15"/>
  <c r="J14"/>
  <c r="J13"/>
  <c r="J12"/>
  <c r="J11"/>
  <c r="J10"/>
  <c r="J8"/>
  <c r="B25" l="1"/>
  <c r="C25"/>
  <c r="H25"/>
  <c r="C90"/>
  <c r="B90"/>
  <c r="C88"/>
  <c r="B88"/>
  <c r="C87"/>
  <c r="B87"/>
  <c r="B86"/>
  <c r="D86" s="1"/>
  <c r="B84"/>
  <c r="D84" s="1"/>
  <c r="C83"/>
  <c r="B83"/>
  <c r="C82"/>
  <c r="B82"/>
  <c r="C81"/>
  <c r="B81"/>
  <c r="C80"/>
  <c r="B80"/>
  <c r="C79"/>
  <c r="B79"/>
  <c r="C78"/>
  <c r="B78"/>
  <c r="C77"/>
  <c r="B77"/>
  <c r="C76"/>
  <c r="B76"/>
  <c r="C75"/>
  <c r="B75"/>
  <c r="C74"/>
  <c r="B74"/>
  <c r="C73"/>
  <c r="B73"/>
  <c r="C72"/>
  <c r="B72"/>
  <c r="C71"/>
  <c r="B71"/>
  <c r="C70"/>
  <c r="B70"/>
  <c r="C69"/>
  <c r="B69"/>
  <c r="C68"/>
  <c r="B68"/>
  <c r="C67"/>
  <c r="B67"/>
  <c r="C66"/>
  <c r="B66"/>
  <c r="C65"/>
  <c r="B65"/>
  <c r="C64"/>
  <c r="B64"/>
  <c r="C63"/>
  <c r="B63"/>
  <c r="C62"/>
  <c r="B62"/>
  <c r="C61"/>
  <c r="B61"/>
  <c r="C60"/>
  <c r="B60"/>
  <c r="C59"/>
  <c r="B59"/>
  <c r="C58"/>
  <c r="B58"/>
  <c r="C57"/>
  <c r="B57"/>
  <c r="C56"/>
  <c r="B56"/>
  <c r="C55"/>
  <c r="B55"/>
  <c r="C54"/>
  <c r="B54"/>
  <c r="C53"/>
  <c r="B53"/>
  <c r="C52"/>
  <c r="B52"/>
  <c r="C51"/>
  <c r="B51"/>
  <c r="C50"/>
  <c r="B50"/>
  <c r="B49"/>
  <c r="C48"/>
  <c r="B48"/>
  <c r="C47"/>
  <c r="B47"/>
  <c r="C46"/>
  <c r="B46"/>
  <c r="C45"/>
  <c r="B45"/>
  <c r="C44"/>
  <c r="B44"/>
  <c r="C43"/>
  <c r="B43"/>
  <c r="C42"/>
  <c r="B42"/>
  <c r="C41"/>
  <c r="B41"/>
  <c r="C40"/>
  <c r="B40"/>
  <c r="C39"/>
  <c r="B39"/>
  <c r="B38"/>
  <c r="D38" s="1"/>
  <c r="C37"/>
  <c r="B37"/>
  <c r="C36"/>
  <c r="B36"/>
  <c r="C35"/>
  <c r="B35"/>
  <c r="C34"/>
  <c r="B34"/>
  <c r="C33"/>
  <c r="B33"/>
  <c r="C32"/>
  <c r="B32"/>
  <c r="C31"/>
  <c r="B31"/>
  <c r="C29"/>
  <c r="B29"/>
  <c r="C28"/>
  <c r="C27"/>
  <c r="C26"/>
  <c r="B26"/>
  <c r="C23"/>
  <c r="B23"/>
  <c r="C22"/>
  <c r="B22"/>
  <c r="C21"/>
  <c r="B21"/>
  <c r="C20"/>
  <c r="B20"/>
  <c r="C19"/>
  <c r="B19"/>
  <c r="C18"/>
  <c r="B18"/>
  <c r="C17"/>
  <c r="B17"/>
  <c r="C16"/>
  <c r="C15"/>
  <c r="B15"/>
  <c r="C14"/>
  <c r="B14"/>
  <c r="C13"/>
  <c r="B13"/>
  <c r="C12"/>
  <c r="B12"/>
  <c r="C11"/>
  <c r="B11"/>
  <c r="C10"/>
  <c r="B10"/>
  <c r="C8"/>
  <c r="B8"/>
  <c r="D72"/>
  <c r="H84"/>
  <c r="H86"/>
  <c r="H38"/>
  <c r="I86"/>
  <c r="I85"/>
  <c r="I84"/>
  <c r="I38"/>
  <c r="D20" l="1"/>
  <c r="D87"/>
  <c r="D90"/>
  <c r="I8"/>
  <c r="D18"/>
  <c r="D22"/>
  <c r="D31"/>
  <c r="D33"/>
  <c r="D35"/>
  <c r="D37"/>
  <c r="D50"/>
  <c r="D52"/>
  <c r="D54"/>
  <c r="D56"/>
  <c r="D58"/>
  <c r="D60"/>
  <c r="D62"/>
  <c r="D64"/>
  <c r="D66"/>
  <c r="D68"/>
  <c r="D70"/>
  <c r="D74"/>
  <c r="D76"/>
  <c r="D78"/>
  <c r="I80"/>
  <c r="D25"/>
  <c r="D11"/>
  <c r="D82"/>
  <c r="I25"/>
  <c r="H46"/>
  <c r="D19"/>
  <c r="D21"/>
  <c r="D23"/>
  <c r="D29"/>
  <c r="D88"/>
  <c r="H80"/>
  <c r="D17"/>
  <c r="D26"/>
  <c r="I65"/>
  <c r="D8"/>
  <c r="D13"/>
  <c r="D15"/>
  <c r="D39"/>
  <c r="D41"/>
  <c r="D43"/>
  <c r="D45"/>
  <c r="D47"/>
  <c r="D10"/>
  <c r="D12"/>
  <c r="D14"/>
  <c r="D32"/>
  <c r="D34"/>
  <c r="D36"/>
  <c r="D40"/>
  <c r="D42"/>
  <c r="D44"/>
  <c r="D46"/>
  <c r="D48"/>
  <c r="D51"/>
  <c r="D53"/>
  <c r="D55"/>
  <c r="D57"/>
  <c r="D59"/>
  <c r="D61"/>
  <c r="D65"/>
  <c r="D67"/>
  <c r="D69"/>
  <c r="D71"/>
  <c r="D73"/>
  <c r="D75"/>
  <c r="D77"/>
  <c r="D79"/>
  <c r="D81"/>
  <c r="D83"/>
  <c r="D63"/>
  <c r="H50"/>
  <c r="I48"/>
  <c r="H53"/>
  <c r="H57"/>
  <c r="I40"/>
  <c r="H81"/>
  <c r="H40"/>
  <c r="H90"/>
  <c r="H68"/>
  <c r="H56"/>
  <c r="H52"/>
  <c r="H32"/>
  <c r="H43"/>
  <c r="H47"/>
  <c r="H35"/>
  <c r="H37"/>
  <c r="I27"/>
  <c r="I72"/>
  <c r="H18"/>
  <c r="I31"/>
  <c r="I34"/>
  <c r="I14"/>
  <c r="I15"/>
  <c r="I13"/>
  <c r="H19"/>
  <c r="H21"/>
  <c r="I21"/>
  <c r="H73"/>
  <c r="I19"/>
  <c r="H23"/>
  <c r="I64"/>
  <c r="I67"/>
  <c r="H8"/>
  <c r="I26"/>
  <c r="I17"/>
  <c r="I20"/>
  <c r="I22"/>
  <c r="H41"/>
  <c r="I73"/>
  <c r="I77"/>
  <c r="H22"/>
  <c r="I23"/>
  <c r="I68"/>
  <c r="H58"/>
  <c r="I33"/>
  <c r="I18"/>
  <c r="H13"/>
  <c r="H20"/>
  <c r="I70"/>
  <c r="I78"/>
  <c r="I90"/>
  <c r="H88"/>
  <c r="H87"/>
  <c r="H83"/>
  <c r="I83"/>
  <c r="H82"/>
  <c r="I81"/>
  <c r="H79"/>
  <c r="I79"/>
  <c r="H78"/>
  <c r="H77"/>
  <c r="I88"/>
  <c r="I87"/>
  <c r="I82"/>
  <c r="H76"/>
  <c r="I75"/>
  <c r="H75"/>
  <c r="I74"/>
  <c r="H74"/>
  <c r="H72"/>
  <c r="I71"/>
  <c r="H71"/>
  <c r="H70"/>
  <c r="I69"/>
  <c r="H69"/>
  <c r="H67"/>
  <c r="I66"/>
  <c r="H66"/>
  <c r="I76"/>
  <c r="H65"/>
  <c r="H64"/>
  <c r="I63"/>
  <c r="H63"/>
  <c r="H62"/>
  <c r="I61"/>
  <c r="H61"/>
  <c r="I60"/>
  <c r="H60"/>
  <c r="I59"/>
  <c r="H59"/>
  <c r="I62"/>
  <c r="I58"/>
  <c r="I57"/>
  <c r="I56"/>
  <c r="H55"/>
  <c r="I55"/>
  <c r="H54"/>
  <c r="I54"/>
  <c r="I53"/>
  <c r="I52"/>
  <c r="I50"/>
  <c r="H51"/>
  <c r="I51"/>
  <c r="H48"/>
  <c r="I47"/>
  <c r="I46"/>
  <c r="I45"/>
  <c r="H45"/>
  <c r="H44"/>
  <c r="I44"/>
  <c r="I43"/>
  <c r="I42"/>
  <c r="H42"/>
  <c r="I41"/>
  <c r="H39"/>
  <c r="I39"/>
  <c r="I37"/>
  <c r="H36"/>
  <c r="I36"/>
  <c r="I35"/>
  <c r="H34"/>
  <c r="H33"/>
  <c r="I32"/>
  <c r="H31"/>
  <c r="H29"/>
  <c r="I29"/>
  <c r="I28"/>
  <c r="H26"/>
  <c r="H17"/>
  <c r="I16"/>
  <c r="H15"/>
  <c r="H14"/>
  <c r="I12"/>
  <c r="H12"/>
  <c r="H11"/>
  <c r="I11"/>
  <c r="H10"/>
  <c r="I10"/>
</calcChain>
</file>

<file path=xl/sharedStrings.xml><?xml version="1.0" encoding="utf-8"?>
<sst xmlns="http://schemas.openxmlformats.org/spreadsheetml/2006/main" count="107" uniqueCount="100">
  <si>
    <t>Наименование 
показателя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</si>
  <si>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</si>
  <si>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</si>
  <si>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</si>
  <si>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1</t>
  </si>
  <si>
    <t>6</t>
  </si>
  <si>
    <t>7</t>
  </si>
  <si>
    <t>Доходы бюджета - ИТОГО</t>
  </si>
  <si>
    <t xml:space="preserve">в том числе: </t>
  </si>
  <si>
    <t xml:space="preserve">  НАЛОГОВЫЕ И НЕНАЛОГОВЫЕ ДОХОДЫ</t>
  </si>
  <si>
    <t xml:space="preserve">  НАЛОГИ НА СОВОКУПНЫЙ ДОХОД</t>
  </si>
  <si>
    <t xml:space="preserve">  НАЛОГИ НА ИМУЩЕСТВО</t>
  </si>
  <si>
    <t xml:space="preserve">  ГОСУДАРСТВЕННАЯ ПОШЛИНА</t>
  </si>
  <si>
    <t xml:space="preserve">  ЗАДОЛЖЕННОСТЬ И ПЕРЕРАСЧЕТЫ ПО ОТМЕНЕННЫМ НАЛОГАМ, СБОРАМ И ИНЫМ ОБЯЗАТЕЛЬНЫМ ПЛАТЕЖАМ</t>
  </si>
  <si>
    <t xml:space="preserve">  ДОХОДЫ ОТ ИСПОЛЬЗОВАНИЯ ИМУЩЕСТВА, НАХОДЯЩЕГОСЯ В ГОСУДАРСТВЕННОЙ И МУНИЦИПАЛЬНОЙ СОБСТВЕННОСТИ</t>
  </si>
  <si>
    <t xml:space="preserve">  ПЛАТЕЖИ ПРИ ПОЛЬЗОВАНИИ ПРИРОДНЫМИ РЕСУРСАМИ</t>
  </si>
  <si>
    <t xml:space="preserve">  ДОХОДЫ ОТ ОКАЗАНИЯ ПЛАТНЫХ УСЛУГ (РАБОТ) И КОМПЕНСАЦИИ ЗАТРАТ ГОСУДАРСТВА</t>
  </si>
  <si>
    <t xml:space="preserve">  ДОХОДЫ ОТ ПРОДАЖИ МАТЕРИАЛЬНЫХ И НЕМАТЕРИАЛЬНЫХ АКТИВОВ</t>
  </si>
  <si>
    <t xml:space="preserve">  ШТРАФЫ, САНКЦИИ, ВОЗМЕЩЕНИЕ УЩЕРБА</t>
  </si>
  <si>
    <t xml:space="preserve">  ПРОЧИЕ НЕНАЛОГОВЫЕ ДОХОДЫ</t>
  </si>
  <si>
    <t xml:space="preserve">  БЕЗВОЗМЕЗДНЫЕ ПОСТУПЛЕНИЯ</t>
  </si>
  <si>
    <t xml:space="preserve">  БЕЗВОЗМЕЗДНЫЕ ПОСТУПЛЕНИЯ ОТ ДРУГИХ БЮДЖЕТОВ БЮДЖЕТНОЙ СИСТЕМЫ РОССИЙСКОЙ ФЕДЕРАЦИИ</t>
  </si>
  <si>
    <t xml:space="preserve">  ПРОЧИЕ БЕЗВОЗМЕЗДНЫЕ ПОСТУПЛЕНИЯ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</si>
  <si>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</si>
  <si>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</si>
  <si>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Расходы бюджета - ИТОГО</t>
  </si>
  <si>
    <t xml:space="preserve">  ОБЩЕГОСУДАРСТВЕННЫЕ ВОПРОСЫ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</si>
  <si>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</si>
  <si>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</si>
  <si>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</si>
  <si>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 Судебная система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</si>
  <si>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</si>
  <si>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 Обеспечение проведения выборов и референдумов</t>
  </si>
  <si>
    <t xml:space="preserve">  Резервные фонды</t>
  </si>
  <si>
    <t xml:space="preserve">  Другие общегосударственные вопросы</t>
  </si>
  <si>
    <t xml:space="preserve">  НАЦИОНАЛЬНАЯ ОБОРОНА</t>
  </si>
  <si>
    <t xml:space="preserve">  Мобилизационная и вневойсковая подготовка</t>
  </si>
  <si>
    <t xml:space="preserve">  НАЦИОНАЛЬНАЯ БЕЗОПАСНОСТЬ И ПРАВООХРАНИТЕЛЬНАЯ ДЕЯТЕЛЬНОСТЬ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</si>
  <si>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</si>
  <si>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 Обеспечение пожарной безопасности</t>
  </si>
  <si>
    <t xml:space="preserve">  Другие вопросы в области национальной безопасности и правоохранительной деятельности</t>
  </si>
  <si>
    <t xml:space="preserve">  НАЦИОНАЛЬНАЯ ЭКОНОМИКА</t>
  </si>
  <si>
    <t xml:space="preserve">  Топливно-энергетический комплекс</t>
  </si>
  <si>
    <t xml:space="preserve">  Сельское хозяйство и рыболовство</t>
  </si>
  <si>
    <t xml:space="preserve">  Дорожное хозяйство (дорожные фонды)</t>
  </si>
  <si>
    <t xml:space="preserve">  Связь и информатика</t>
  </si>
  <si>
    <t xml:space="preserve">  Другие вопросы в области национальной экономики</t>
  </si>
  <si>
    <t xml:space="preserve">  ЖИЛИЩНО-КОММУНАЛЬНОЕ ХОЗЯЙСТВО</t>
  </si>
  <si>
    <t xml:space="preserve">  Жилищное хозяйство</t>
  </si>
  <si>
    <t xml:space="preserve">  Коммунальное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</si>
  <si>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</si>
  <si>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</si>
  <si>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ОХРАНА ОКРУЖАЮЩЕЙ СРЕДЫ</t>
  </si>
  <si>
    <t xml:space="preserve">  Другие вопросы в области охраны окружающей среды</t>
  </si>
  <si>
    <t xml:space="preserve">  ОБРАЗОВАНИЕ</t>
  </si>
  <si>
    <t xml:space="preserve">  Дошкольное образование</t>
  </si>
  <si>
    <t xml:space="preserve">  Общее образование</t>
  </si>
  <si>
    <t xml:space="preserve">  Дополнительное образование детей</t>
  </si>
  <si>
    <t xml:space="preserve">  Профессиональная подготовка, переподготовка и повышение квалификации</t>
  </si>
  <si>
    <t xml:space="preserve">  Другие вопросы в области образования</t>
  </si>
  <si>
    <t xml:space="preserve">  КУЛЬТУРА, КИНЕМАТОГРАФИЯ</t>
  </si>
  <si>
    <t xml:space="preserve">  Культура</t>
  </si>
  <si>
    <t xml:space="preserve">  Другие вопросы в области культуры, кинематографии</t>
  </si>
  <si>
    <t xml:space="preserve">  СОЦИАЛЬНАЯ ПОЛИТИКА</t>
  </si>
  <si>
    <t xml:space="preserve">  Пенсионное обеспечение</t>
  </si>
  <si>
    <t xml:space="preserve">  Социальное обеспечение населения</t>
  </si>
  <si>
    <t xml:space="preserve">  Охрана семьи и детства</t>
  </si>
  <si>
    <t xml:space="preserve">  Другие вопросы в области социальной политики</t>
  </si>
  <si>
    <t xml:space="preserve">  ФИЗИЧЕСКАЯ КУЛЬТУРА И СПОРТ</t>
  </si>
  <si>
    <t xml:space="preserve">  Физическая культура</t>
  </si>
  <si>
    <t xml:space="preserve">  Массовый спорт</t>
  </si>
  <si>
    <t xml:space="preserve">  Другие вопросы в области физической культуры и спорта</t>
  </si>
  <si>
    <t xml:space="preserve">  СРЕДСТВА МАССОВОЙ ИНФОРМАЦИИ</t>
  </si>
  <si>
    <t xml:space="preserve">  Периодическая печать и издательства</t>
  </si>
  <si>
    <t xml:space="preserve">  ОБСЛУЖИВАНИЕ ГОСУДАРСТВЕННОГО И МУНИЦИПАЛЬНОГО ДОЛГА</t>
  </si>
  <si>
    <t xml:space="preserve">  Обслуживание государственного внутреннего и муниципального долга</t>
  </si>
  <si>
    <t xml:space="preserve">  МЕЖБЮДЖЕТНЫЕ ТРАНСФЕРТЫ ОБЩЕГО ХАРАКТЕРА БЮДЖЕТАМ БЮДЖЕТНОЙ СИСТЕМЫ РОССИЙСКОЙ ФЕДЕРАЦИИ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</si>
  <si>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</si>
  <si>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 Прочие межбюджетные трансферты общего характера</t>
  </si>
  <si>
    <t>Результат исполнения бюджета (дефицит / профицит)</t>
  </si>
  <si>
    <t>Источники финансирования дефицита бюджетов - всего</t>
  </si>
  <si>
    <t xml:space="preserve">     в том числе:</t>
  </si>
  <si>
    <t>источники внутреннего финансирования</t>
  </si>
  <si>
    <t>АКЦИЗЫ</t>
  </si>
  <si>
    <t xml:space="preserve">  НАЛОГИ НА  ДОХОДЫ ФИЗИЧЕСКИХ ЛИЦ</t>
  </si>
  <si>
    <t>Отклонение</t>
  </si>
  <si>
    <t xml:space="preserve"> </t>
  </si>
  <si>
    <t>на 01.01.2020</t>
  </si>
  <si>
    <t>на 01.01.2021</t>
  </si>
  <si>
    <t>% исполнения за 2019 год</t>
  </si>
  <si>
    <t>Транспорт</t>
  </si>
  <si>
    <t>Телевидение и радиовещание</t>
  </si>
  <si>
    <t>% исполнения за 2020 год</t>
  </si>
  <si>
    <t xml:space="preserve">  БЕЗВОЗМЕЗДНЫЕ ПОСТУПЛЕНИЯ ОТ НЕРЕЗИДЕНТОВ</t>
  </si>
  <si>
    <t xml:space="preserve">  Молодежная политика </t>
  </si>
  <si>
    <t>5</t>
  </si>
  <si>
    <t>9</t>
  </si>
  <si>
    <t>10</t>
  </si>
  <si>
    <t>Сопоставимая информация об исполнении консолидированного бюджета Всеволожского муниципального района Ленинградской области за 2020 год по отношению к 2019 году (тыс. руб.)</t>
  </si>
  <si>
    <t>темп роста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</si>
</sst>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71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1"/>
    <xf numFmtId="0" fontId="3" fillId="0" borderId="2"/>
    <xf numFmtId="0" fontId="4" fillId="0" borderId="1"/>
    <xf numFmtId="0" fontId="5" fillId="0" borderId="1"/>
    <xf numFmtId="0" fontId="6" fillId="0" borderId="1"/>
    <xf numFmtId="0" fontId="7" fillId="0" borderId="3">
      <alignment horizontal="center"/>
    </xf>
    <xf numFmtId="0" fontId="7" fillId="0" borderId="4">
      <alignment horizontal="center"/>
    </xf>
    <xf numFmtId="0" fontId="4" fillId="0" borderId="5"/>
    <xf numFmtId="0" fontId="7" fillId="0" borderId="1">
      <alignment horizontal="center"/>
    </xf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1">
      <alignment horizontal="right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>
      <alignment horizontal="center"/>
    </xf>
    <xf numFmtId="49" fontId="7" fillId="0" borderId="1">
      <alignment horizontal="right"/>
    </xf>
    <xf numFmtId="0" fontId="7" fillId="0" borderId="1"/>
    <xf numFmtId="0" fontId="7" fillId="0" borderId="1">
      <alignment horizontal="right"/>
    </xf>
    <xf numFmtId="0" fontId="7" fillId="0" borderId="6">
      <alignment horizontal="right"/>
    </xf>
    <xf numFmtId="164" fontId="7" fillId="0" borderId="9">
      <alignment horizontal="center"/>
    </xf>
    <xf numFmtId="164" fontId="7" fillId="0" borderId="1">
      <alignment horizontal="center"/>
    </xf>
    <xf numFmtId="49" fontId="7" fillId="0" borderId="1"/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49" fontId="7" fillId="0" borderId="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0" fontId="5" fillId="0" borderId="16"/>
    <xf numFmtId="0" fontId="1" fillId="0" borderId="1">
      <alignment horizontal="center"/>
    </xf>
    <xf numFmtId="49" fontId="7" fillId="0" borderId="17">
      <alignment horizontal="center" vertical="center" wrapText="1"/>
    </xf>
    <xf numFmtId="0" fontId="7" fillId="0" borderId="17">
      <alignment horizontal="center" vertical="center" wrapText="1"/>
    </xf>
    <xf numFmtId="49" fontId="7" fillId="0" borderId="4">
      <alignment horizontal="center" vertical="center" wrapText="1"/>
    </xf>
    <xf numFmtId="0" fontId="7" fillId="0" borderId="18">
      <alignment horizontal="left" wrapText="1"/>
    </xf>
    <xf numFmtId="49" fontId="7" fillId="0" borderId="19">
      <alignment horizontal="center" wrapText="1"/>
    </xf>
    <xf numFmtId="49" fontId="7" fillId="0" borderId="20">
      <alignment horizontal="center"/>
    </xf>
    <xf numFmtId="4" fontId="7" fillId="0" borderId="17">
      <alignment horizontal="right"/>
    </xf>
    <xf numFmtId="4" fontId="7" fillId="0" borderId="18">
      <alignment horizontal="right"/>
    </xf>
    <xf numFmtId="0" fontId="7" fillId="0" borderId="21">
      <alignment horizontal="left" wrapText="1" indent="1"/>
    </xf>
    <xf numFmtId="49" fontId="7" fillId="0" borderId="22">
      <alignment horizontal="center" wrapText="1"/>
    </xf>
    <xf numFmtId="49" fontId="7" fillId="0" borderId="23">
      <alignment horizontal="center"/>
    </xf>
    <xf numFmtId="49" fontId="7" fillId="0" borderId="21">
      <alignment horizontal="center"/>
    </xf>
    <xf numFmtId="0" fontId="7" fillId="0" borderId="24">
      <alignment horizontal="left" wrapText="1" indent="2"/>
    </xf>
    <xf numFmtId="49" fontId="7" fillId="0" borderId="25">
      <alignment horizontal="center"/>
    </xf>
    <xf numFmtId="49" fontId="7" fillId="0" borderId="26">
      <alignment horizontal="center"/>
    </xf>
    <xf numFmtId="4" fontId="7" fillId="0" borderId="26">
      <alignment horizontal="right"/>
    </xf>
    <xf numFmtId="4" fontId="7" fillId="0" borderId="24">
      <alignment horizontal="right"/>
    </xf>
    <xf numFmtId="0" fontId="7" fillId="0" borderId="27"/>
    <xf numFmtId="0" fontId="7" fillId="2" borderId="27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1" fillId="0" borderId="1"/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8">
      <alignment horizontal="left" wrapText="1"/>
    </xf>
    <xf numFmtId="49" fontId="7" fillId="0" borderId="26">
      <alignment horizontal="center" wrapText="1"/>
    </xf>
    <xf numFmtId="0" fontId="7" fillId="0" borderId="24">
      <alignment horizontal="left" wrapText="1"/>
    </xf>
    <xf numFmtId="0" fontId="7" fillId="0" borderId="29">
      <alignment horizontal="left" wrapText="1" indent="1"/>
    </xf>
    <xf numFmtId="49" fontId="7" fillId="0" borderId="30">
      <alignment horizontal="center" wrapText="1"/>
    </xf>
    <xf numFmtId="49" fontId="7" fillId="0" borderId="17">
      <alignment horizontal="center"/>
    </xf>
    <xf numFmtId="49" fontId="7" fillId="0" borderId="18">
      <alignment horizontal="center"/>
    </xf>
    <xf numFmtId="0" fontId="7" fillId="0" borderId="31"/>
    <xf numFmtId="0" fontId="1" fillId="0" borderId="32">
      <alignment horizontal="left" wrapText="1"/>
    </xf>
    <xf numFmtId="0" fontId="7" fillId="0" borderId="33">
      <alignment horizontal="center" wrapText="1"/>
    </xf>
    <xf numFmtId="49" fontId="7" fillId="0" borderId="34">
      <alignment horizontal="center" wrapText="1"/>
    </xf>
    <xf numFmtId="4" fontId="7" fillId="0" borderId="20">
      <alignment horizontal="right"/>
    </xf>
    <xf numFmtId="0" fontId="1" fillId="0" borderId="35">
      <alignment horizontal="left" wrapText="1"/>
    </xf>
    <xf numFmtId="4" fontId="7" fillId="0" borderId="35">
      <alignment horizontal="right"/>
    </xf>
    <xf numFmtId="0" fontId="7" fillId="0" borderId="1">
      <alignment horizontal="center" wrapText="1"/>
    </xf>
    <xf numFmtId="0" fontId="1" fillId="0" borderId="2"/>
    <xf numFmtId="49" fontId="7" fillId="0" borderId="2">
      <alignment horizontal="left"/>
    </xf>
    <xf numFmtId="0" fontId="7" fillId="0" borderId="36">
      <alignment horizontal="left" wrapText="1"/>
    </xf>
    <xf numFmtId="0" fontId="7" fillId="0" borderId="37">
      <alignment horizontal="left" wrapText="1"/>
    </xf>
    <xf numFmtId="0" fontId="7" fillId="0" borderId="38">
      <alignment horizontal="left" wrapText="1"/>
    </xf>
    <xf numFmtId="0" fontId="7" fillId="0" borderId="39">
      <alignment horizontal="left" wrapText="1"/>
    </xf>
    <xf numFmtId="0" fontId="4" fillId="0" borderId="23"/>
    <xf numFmtId="0" fontId="4" fillId="0" borderId="21"/>
    <xf numFmtId="0" fontId="7" fillId="0" borderId="36">
      <alignment horizontal="left" wrapText="1" indent="1"/>
    </xf>
    <xf numFmtId="49" fontId="7" fillId="0" borderId="25">
      <alignment horizontal="center" wrapText="1"/>
    </xf>
    <xf numFmtId="0" fontId="7" fillId="0" borderId="37">
      <alignment horizontal="left" wrapText="1" indent="1"/>
    </xf>
    <xf numFmtId="0" fontId="7" fillId="0" borderId="38">
      <alignment horizontal="left" wrapText="1" indent="2"/>
    </xf>
    <xf numFmtId="0" fontId="7" fillId="0" borderId="39">
      <alignment horizontal="left" wrapText="1" indent="2"/>
    </xf>
    <xf numFmtId="0" fontId="7" fillId="0" borderId="37">
      <alignment horizontal="left" wrapText="1" indent="2"/>
    </xf>
    <xf numFmtId="49" fontId="7" fillId="0" borderId="25">
      <alignment horizontal="center" shrinkToFit="1"/>
    </xf>
    <xf numFmtId="49" fontId="7" fillId="0" borderId="26">
      <alignment horizontal="center" shrinkToFit="1"/>
    </xf>
    <xf numFmtId="0" fontId="10" fillId="0" borderId="40">
      <alignment horizontal="center" vertical="center" textRotation="90" wrapText="1"/>
    </xf>
    <xf numFmtId="0" fontId="7" fillId="0" borderId="17">
      <alignment horizontal="center" vertical="top" wrapText="1"/>
    </xf>
    <xf numFmtId="0" fontId="7" fillId="0" borderId="17">
      <alignment horizontal="center" vertical="top"/>
    </xf>
    <xf numFmtId="49" fontId="7" fillId="0" borderId="17">
      <alignment horizontal="center" vertical="top" wrapText="1"/>
    </xf>
    <xf numFmtId="0" fontId="1" fillId="0" borderId="41"/>
    <xf numFmtId="49" fontId="1" fillId="0" borderId="19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39">
      <alignment horizontal="left" vertical="center" wrapText="1" indent="2"/>
    </xf>
    <xf numFmtId="49" fontId="7" fillId="0" borderId="22">
      <alignment horizontal="center" vertical="center" wrapText="1"/>
    </xf>
    <xf numFmtId="0" fontId="7" fillId="0" borderId="23"/>
    <xf numFmtId="4" fontId="7" fillId="0" borderId="23">
      <alignment horizontal="right"/>
    </xf>
    <xf numFmtId="4" fontId="7" fillId="0" borderId="21">
      <alignment horizontal="right"/>
    </xf>
    <xf numFmtId="49" fontId="7" fillId="0" borderId="37">
      <alignment horizontal="left" vertical="center" wrapText="1" indent="3"/>
    </xf>
    <xf numFmtId="49" fontId="7" fillId="0" borderId="25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3">
      <alignment horizontal="left" vertical="center" wrapText="1" indent="3"/>
    </xf>
    <xf numFmtId="0" fontId="11" fillId="0" borderId="41">
      <alignment horizontal="left" vertical="center" wrapTex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3">
      <alignment horizontal="center" vertical="center" wrapText="1"/>
    </xf>
    <xf numFmtId="4" fontId="7" fillId="0" borderId="13">
      <alignment horizontal="right"/>
    </xf>
    <xf numFmtId="0" fontId="4" fillId="0" borderId="13"/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1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0" fontId="10" fillId="0" borderId="3">
      <alignment horizontal="center" vertical="center" textRotation="90" wrapText="1"/>
    </xf>
    <xf numFmtId="49" fontId="1" fillId="0" borderId="19">
      <alignment horizontal="center" vertical="center" wrapText="1"/>
    </xf>
    <xf numFmtId="0" fontId="7" fillId="0" borderId="21"/>
    <xf numFmtId="49" fontId="7" fillId="0" borderId="44">
      <alignment horizontal="center" vertical="center" wrapText="1"/>
    </xf>
    <xf numFmtId="4" fontId="7" fillId="0" borderId="4">
      <alignment horizontal="right"/>
    </xf>
    <xf numFmtId="4" fontId="7" fillId="0" borderId="45">
      <alignment horizontal="right"/>
    </xf>
    <xf numFmtId="0" fontId="10" fillId="0" borderId="1">
      <alignment horizontal="center" vertical="center" textRotation="90"/>
    </xf>
    <xf numFmtId="0" fontId="10" fillId="0" borderId="3">
      <alignment horizontal="center" vertical="center" textRotation="90"/>
    </xf>
    <xf numFmtId="49" fontId="11" fillId="0" borderId="41">
      <alignment horizontal="left" vertical="center" wrapText="1"/>
    </xf>
    <xf numFmtId="0" fontId="4" fillId="0" borderId="27"/>
    <xf numFmtId="0" fontId="10" fillId="0" borderId="17">
      <alignment horizontal="center" vertical="center" textRotation="90"/>
    </xf>
    <xf numFmtId="0" fontId="7" fillId="0" borderId="19">
      <alignment horizontal="center" vertical="center"/>
    </xf>
    <xf numFmtId="0" fontId="7" fillId="0" borderId="42">
      <alignment horizontal="left" vertical="center" wrapText="1"/>
    </xf>
    <xf numFmtId="0" fontId="7" fillId="0" borderId="22">
      <alignment horizontal="center" vertical="center"/>
    </xf>
    <xf numFmtId="0" fontId="7" fillId="0" borderId="25">
      <alignment horizontal="center" vertical="center"/>
    </xf>
    <xf numFmtId="0" fontId="7" fillId="0" borderId="30">
      <alignment horizontal="center" vertical="center"/>
    </xf>
    <xf numFmtId="0" fontId="7" fillId="0" borderId="43">
      <alignment horizontal="left" vertical="center" wrapText="1"/>
    </xf>
    <xf numFmtId="49" fontId="11" fillId="0" borderId="46">
      <alignment horizontal="left" vertical="center" wrapText="1"/>
    </xf>
    <xf numFmtId="49" fontId="7" fillId="0" borderId="20">
      <alignment horizontal="center" vertical="center"/>
    </xf>
    <xf numFmtId="49" fontId="7" fillId="0" borderId="47">
      <alignment horizontal="left" vertical="center" wrapText="1"/>
    </xf>
    <xf numFmtId="49" fontId="7" fillId="0" borderId="23">
      <alignment horizontal="center" vertical="center"/>
    </xf>
    <xf numFmtId="49" fontId="7" fillId="0" borderId="26">
      <alignment horizontal="center" vertical="center"/>
    </xf>
    <xf numFmtId="49" fontId="7" fillId="0" borderId="17">
      <alignment horizontal="center" vertical="center"/>
    </xf>
    <xf numFmtId="49" fontId="7" fillId="0" borderId="48">
      <alignment horizontal="left" vertical="center" wrapText="1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7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48">
    <xf numFmtId="0" fontId="0" fillId="0" borderId="0" xfId="0"/>
    <xf numFmtId="0" fontId="20" fillId="4" borderId="0" xfId="0" applyFont="1" applyFill="1" applyProtection="1">
      <protection locked="0"/>
    </xf>
    <xf numFmtId="49" fontId="19" fillId="4" borderId="50" xfId="39" applyFont="1" applyFill="1" applyBorder="1" applyProtection="1">
      <alignment horizontal="center" vertical="center" wrapText="1"/>
    </xf>
    <xf numFmtId="49" fontId="19" fillId="4" borderId="49" xfId="39" applyFont="1" applyFill="1" applyBorder="1" applyProtection="1">
      <alignment horizontal="center" vertical="center" wrapText="1"/>
    </xf>
    <xf numFmtId="0" fontId="19" fillId="4" borderId="49" xfId="10" applyNumberFormat="1" applyFont="1" applyFill="1" applyBorder="1" applyProtection="1"/>
    <xf numFmtId="0" fontId="19" fillId="4" borderId="51" xfId="40" applyNumberFormat="1" applyFont="1" applyFill="1" applyBorder="1" applyProtection="1">
      <alignment horizontal="center" vertical="center" wrapText="1"/>
    </xf>
    <xf numFmtId="0" fontId="19" fillId="4" borderId="49" xfId="40" applyNumberFormat="1" applyFont="1" applyFill="1" applyBorder="1" applyProtection="1">
      <alignment horizontal="center" vertical="center" wrapText="1"/>
    </xf>
    <xf numFmtId="0" fontId="19" fillId="4" borderId="49" xfId="42" applyNumberFormat="1" applyFont="1" applyFill="1" applyBorder="1" applyProtection="1">
      <alignment horizontal="left" wrapText="1"/>
    </xf>
    <xf numFmtId="4" fontId="19" fillId="4" borderId="49" xfId="45" applyFont="1" applyFill="1" applyBorder="1" applyProtection="1">
      <alignment horizontal="right"/>
    </xf>
    <xf numFmtId="0" fontId="19" fillId="4" borderId="49" xfId="17" applyNumberFormat="1" applyFont="1" applyFill="1" applyBorder="1" applyProtection="1"/>
    <xf numFmtId="2" fontId="19" fillId="4" borderId="49" xfId="17" applyNumberFormat="1" applyFont="1" applyFill="1" applyBorder="1" applyProtection="1"/>
    <xf numFmtId="4" fontId="20" fillId="4" borderId="49" xfId="0" applyNumberFormat="1" applyFont="1" applyFill="1" applyBorder="1" applyProtection="1">
      <protection locked="0"/>
    </xf>
    <xf numFmtId="0" fontId="19" fillId="4" borderId="49" xfId="47" applyNumberFormat="1" applyFont="1" applyFill="1" applyBorder="1" applyProtection="1">
      <alignment horizontal="left" wrapText="1" indent="1"/>
    </xf>
    <xf numFmtId="49" fontId="19" fillId="4" borderId="49" xfId="49" applyFont="1" applyFill="1" applyBorder="1" applyProtection="1">
      <alignment horizontal="center"/>
    </xf>
    <xf numFmtId="0" fontId="19" fillId="4" borderId="49" xfId="51" applyNumberFormat="1" applyFont="1" applyFill="1" applyBorder="1" applyProtection="1">
      <alignment horizontal="left" wrapText="1" indent="2"/>
    </xf>
    <xf numFmtId="4" fontId="19" fillId="4" borderId="49" xfId="54" applyFont="1" applyFill="1" applyBorder="1" applyProtection="1">
      <alignment horizontal="right"/>
    </xf>
    <xf numFmtId="0" fontId="17" fillId="4" borderId="0" xfId="0" applyFont="1" applyFill="1" applyProtection="1">
      <protection locked="0"/>
    </xf>
    <xf numFmtId="0" fontId="18" fillId="4" borderId="49" xfId="74" applyNumberFormat="1" applyFont="1" applyFill="1" applyBorder="1" applyProtection="1">
      <alignment horizontal="left" wrapText="1"/>
    </xf>
    <xf numFmtId="4" fontId="19" fillId="4" borderId="49" xfId="77" applyFont="1" applyFill="1" applyBorder="1" applyProtection="1">
      <alignment horizontal="right"/>
    </xf>
    <xf numFmtId="0" fontId="19" fillId="4" borderId="49" xfId="83" applyNumberFormat="1" applyFont="1" applyFill="1" applyBorder="1" applyProtection="1">
      <alignment horizontal="left" wrapText="1"/>
    </xf>
    <xf numFmtId="0" fontId="20" fillId="4" borderId="49" xfId="0" applyFont="1" applyFill="1" applyBorder="1" applyProtection="1">
      <protection locked="0"/>
    </xf>
    <xf numFmtId="0" fontId="19" fillId="4" borderId="49" xfId="85" applyNumberFormat="1" applyFont="1" applyFill="1" applyBorder="1" applyProtection="1">
      <alignment horizontal="left" wrapText="1"/>
    </xf>
    <xf numFmtId="0" fontId="19" fillId="4" borderId="49" xfId="89" applyNumberFormat="1" applyFont="1" applyFill="1" applyBorder="1" applyProtection="1">
      <alignment horizontal="left" wrapText="1" indent="1"/>
    </xf>
    <xf numFmtId="49" fontId="19" fillId="4" borderId="56" xfId="39" applyFont="1" applyFill="1" applyBorder="1" applyProtection="1">
      <alignment horizontal="center" vertical="center" wrapText="1"/>
    </xf>
    <xf numFmtId="0" fontId="19" fillId="4" borderId="57" xfId="40" applyNumberFormat="1" applyFont="1" applyFill="1" applyBorder="1" applyProtection="1">
      <alignment horizontal="center" vertical="center" wrapText="1"/>
    </xf>
    <xf numFmtId="4" fontId="19" fillId="4" borderId="55" xfId="45" applyFont="1" applyFill="1" applyBorder="1" applyProtection="1">
      <alignment horizontal="right"/>
    </xf>
    <xf numFmtId="4" fontId="19" fillId="4" borderId="12" xfId="45" applyFont="1" applyFill="1" applyBorder="1" applyProtection="1">
      <alignment horizontal="right"/>
    </xf>
    <xf numFmtId="4" fontId="20" fillId="4" borderId="0" xfId="0" applyNumberFormat="1" applyFont="1" applyFill="1" applyProtection="1">
      <protection locked="0"/>
    </xf>
    <xf numFmtId="49" fontId="19" fillId="4" borderId="49" xfId="71" applyFont="1" applyFill="1" applyBorder="1" applyProtection="1">
      <alignment horizontal="center"/>
    </xf>
    <xf numFmtId="0" fontId="19" fillId="4" borderId="49" xfId="66" applyNumberFormat="1" applyFont="1" applyFill="1" applyBorder="1" applyProtection="1">
      <alignment horizontal="left" wrapText="1"/>
    </xf>
    <xf numFmtId="0" fontId="19" fillId="4" borderId="49" xfId="69" applyNumberFormat="1" applyFont="1" applyFill="1" applyBorder="1" applyProtection="1">
      <alignment horizontal="left" wrapText="1" indent="1"/>
    </xf>
    <xf numFmtId="4" fontId="17" fillId="4" borderId="0" xfId="0" applyNumberFormat="1" applyFont="1" applyFill="1" applyProtection="1">
      <protection locked="0"/>
    </xf>
    <xf numFmtId="4" fontId="19" fillId="4" borderId="49" xfId="17" applyNumberFormat="1" applyFont="1" applyFill="1" applyBorder="1" applyProtection="1"/>
    <xf numFmtId="0" fontId="19" fillId="4" borderId="52" xfId="6" applyNumberFormat="1" applyFont="1" applyFill="1" applyBorder="1" applyAlignment="1" applyProtection="1">
      <alignment horizontal="center"/>
    </xf>
    <xf numFmtId="0" fontId="20" fillId="4" borderId="52" xfId="0" applyFont="1" applyFill="1" applyBorder="1" applyAlignment="1" applyProtection="1">
      <alignment horizontal="center"/>
      <protection locked="0"/>
    </xf>
    <xf numFmtId="49" fontId="20" fillId="4" borderId="1" xfId="0" applyNumberFormat="1" applyFont="1" applyFill="1" applyBorder="1" applyAlignment="1" applyProtection="1">
      <alignment horizontal="center"/>
      <protection locked="0"/>
    </xf>
    <xf numFmtId="49" fontId="19" fillId="4" borderId="49" xfId="41" applyFont="1" applyFill="1" applyBorder="1" applyAlignment="1" applyProtection="1">
      <alignment horizontal="center" vertical="center" wrapText="1"/>
    </xf>
    <xf numFmtId="0" fontId="19" fillId="4" borderId="49" xfId="10" applyNumberFormat="1" applyFont="1" applyFill="1" applyBorder="1" applyAlignment="1" applyProtection="1">
      <alignment horizontal="center"/>
    </xf>
    <xf numFmtId="49" fontId="20" fillId="4" borderId="49" xfId="0" applyNumberFormat="1" applyFont="1" applyFill="1" applyBorder="1" applyAlignment="1" applyProtection="1">
      <alignment horizontal="center"/>
      <protection locked="0"/>
    </xf>
    <xf numFmtId="4" fontId="19" fillId="4" borderId="17" xfId="45" applyNumberFormat="1" applyFont="1" applyFill="1" applyProtection="1">
      <alignment horizontal="right"/>
    </xf>
    <xf numFmtId="4" fontId="19" fillId="4" borderId="26" xfId="54" applyNumberFormat="1" applyFont="1" applyFill="1" applyProtection="1">
      <alignment horizontal="right"/>
    </xf>
    <xf numFmtId="4" fontId="19" fillId="4" borderId="20" xfId="63" applyNumberFormat="1" applyFont="1" applyFill="1" applyBorder="1" applyAlignment="1" applyProtection="1">
      <alignment horizontal="right"/>
    </xf>
    <xf numFmtId="0" fontId="20" fillId="4" borderId="49" xfId="0" applyFont="1" applyFill="1" applyBorder="1" applyAlignment="1" applyProtection="1">
      <alignment horizontal="center" vertical="center"/>
      <protection locked="0"/>
    </xf>
    <xf numFmtId="49" fontId="19" fillId="4" borderId="49" xfId="39" applyFont="1" applyFill="1" applyBorder="1" applyAlignment="1" applyProtection="1">
      <alignment horizontal="center" vertical="center" wrapText="1"/>
    </xf>
    <xf numFmtId="0" fontId="19" fillId="4" borderId="1" xfId="20" applyNumberFormat="1" applyFont="1" applyFill="1" applyAlignment="1" applyProtection="1">
      <alignment horizontal="center"/>
    </xf>
    <xf numFmtId="0" fontId="19" fillId="4" borderId="53" xfId="6" applyNumberFormat="1" applyFont="1" applyFill="1" applyBorder="1" applyAlignment="1" applyProtection="1">
      <alignment horizontal="center"/>
    </xf>
    <xf numFmtId="0" fontId="19" fillId="4" borderId="54" xfId="6" applyNumberFormat="1" applyFont="1" applyFill="1" applyBorder="1" applyAlignment="1" applyProtection="1">
      <alignment horizontal="center"/>
    </xf>
    <xf numFmtId="49" fontId="19" fillId="4" borderId="49" xfId="25" applyFont="1" applyFill="1" applyBorder="1" applyAlignment="1" applyProtection="1">
      <alignment horizontal="center"/>
    </xf>
  </cellXfs>
  <cellStyles count="171">
    <cellStyle name="br" xfId="166"/>
    <cellStyle name="col" xfId="165"/>
    <cellStyle name="style0" xfId="167"/>
    <cellStyle name="td" xfId="168"/>
    <cellStyle name="tr" xfId="164"/>
    <cellStyle name="xl100" xfId="72"/>
    <cellStyle name="xl101" xfId="79"/>
    <cellStyle name="xl102" xfId="81"/>
    <cellStyle name="xl103" xfId="83"/>
    <cellStyle name="xl104" xfId="85"/>
    <cellStyle name="xl105" xfId="89"/>
    <cellStyle name="xl106" xfId="92"/>
    <cellStyle name="xl107" xfId="94"/>
    <cellStyle name="xl108" xfId="80"/>
    <cellStyle name="xl109" xfId="82"/>
    <cellStyle name="xl110" xfId="90"/>
    <cellStyle name="xl111" xfId="95"/>
    <cellStyle name="xl112" xfId="96"/>
    <cellStyle name="xl113" xfId="84"/>
    <cellStyle name="xl114" xfId="86"/>
    <cellStyle name="xl115" xfId="91"/>
    <cellStyle name="xl116" xfId="93"/>
    <cellStyle name="xl117" xfId="87"/>
    <cellStyle name="xl118" xfId="88"/>
    <cellStyle name="xl119" xfId="97"/>
    <cellStyle name="xl120" xfId="117"/>
    <cellStyle name="xl121" xfId="122"/>
    <cellStyle name="xl122" xfId="126"/>
    <cellStyle name="xl123" xfId="130"/>
    <cellStyle name="xl124" xfId="136"/>
    <cellStyle name="xl125" xfId="137"/>
    <cellStyle name="xl126" xfId="140"/>
    <cellStyle name="xl127" xfId="121"/>
    <cellStyle name="xl128" xfId="159"/>
    <cellStyle name="xl129" xfId="162"/>
    <cellStyle name="xl130" xfId="98"/>
    <cellStyle name="xl131" xfId="101"/>
    <cellStyle name="xl132" xfId="104"/>
    <cellStyle name="xl133" xfId="106"/>
    <cellStyle name="xl134" xfId="111"/>
    <cellStyle name="xl135" xfId="113"/>
    <cellStyle name="xl136" xfId="115"/>
    <cellStyle name="xl137" xfId="116"/>
    <cellStyle name="xl138" xfId="118"/>
    <cellStyle name="xl139" xfId="123"/>
    <cellStyle name="xl140" xfId="127"/>
    <cellStyle name="xl141" xfId="138"/>
    <cellStyle name="xl142" xfId="142"/>
    <cellStyle name="xl143" xfId="146"/>
    <cellStyle name="xl144" xfId="147"/>
    <cellStyle name="xl145" xfId="149"/>
    <cellStyle name="xl146" xfId="153"/>
    <cellStyle name="xl147" xfId="102"/>
    <cellStyle name="xl148" xfId="105"/>
    <cellStyle name="xl149" xfId="107"/>
    <cellStyle name="xl150" xfId="112"/>
    <cellStyle name="xl151" xfId="114"/>
    <cellStyle name="xl152" xfId="119"/>
    <cellStyle name="xl153" xfId="124"/>
    <cellStyle name="xl154" xfId="128"/>
    <cellStyle name="xl155" xfId="131"/>
    <cellStyle name="xl156" xfId="133"/>
    <cellStyle name="xl157" xfId="139"/>
    <cellStyle name="xl158" xfId="141"/>
    <cellStyle name="xl159" xfId="143"/>
    <cellStyle name="xl160" xfId="144"/>
    <cellStyle name="xl161" xfId="145"/>
    <cellStyle name="xl162" xfId="148"/>
    <cellStyle name="xl163" xfId="150"/>
    <cellStyle name="xl164" xfId="151"/>
    <cellStyle name="xl165" xfId="152"/>
    <cellStyle name="xl166" xfId="100"/>
    <cellStyle name="xl167" xfId="108"/>
    <cellStyle name="xl168" xfId="120"/>
    <cellStyle name="xl169" xfId="125"/>
    <cellStyle name="xl170" xfId="129"/>
    <cellStyle name="xl171" xfId="134"/>
    <cellStyle name="xl172" xfId="154"/>
    <cellStyle name="xl173" xfId="157"/>
    <cellStyle name="xl174" xfId="160"/>
    <cellStyle name="xl175" xfId="163"/>
    <cellStyle name="xl176" xfId="155"/>
    <cellStyle name="xl177" xfId="158"/>
    <cellStyle name="xl178" xfId="156"/>
    <cellStyle name="xl179" xfId="109"/>
    <cellStyle name="xl180" xfId="99"/>
    <cellStyle name="xl181" xfId="110"/>
    <cellStyle name="xl182" xfId="132"/>
    <cellStyle name="xl183" xfId="135"/>
    <cellStyle name="xl184" xfId="161"/>
    <cellStyle name="xl185" xfId="103"/>
    <cellStyle name="xl21" xfId="169"/>
    <cellStyle name="xl22" xfId="1"/>
    <cellStyle name="xl23" xfId="7"/>
    <cellStyle name="xl24" xfId="12"/>
    <cellStyle name="xl25" xfId="20"/>
    <cellStyle name="xl26" xfId="6"/>
    <cellStyle name="xl27" xfId="5"/>
    <cellStyle name="xl28" xfId="39"/>
    <cellStyle name="xl29" xfId="42"/>
    <cellStyle name="xl30" xfId="47"/>
    <cellStyle name="xl31" xfId="51"/>
    <cellStyle name="xl32" xfId="170"/>
    <cellStyle name="xl33" xfId="13"/>
    <cellStyle name="xl34" xfId="32"/>
    <cellStyle name="xl35" xfId="43"/>
    <cellStyle name="xl36" xfId="48"/>
    <cellStyle name="xl37" xfId="52"/>
    <cellStyle name="xl38" xfId="56"/>
    <cellStyle name="xl39" xfId="11"/>
    <cellStyle name="xl40" xfId="33"/>
    <cellStyle name="xl41" xfId="25"/>
    <cellStyle name="xl42" xfId="44"/>
    <cellStyle name="xl43" xfId="49"/>
    <cellStyle name="xl44" xfId="53"/>
    <cellStyle name="xl45" xfId="40"/>
    <cellStyle name="xl46" xfId="41"/>
    <cellStyle name="xl47" xfId="45"/>
    <cellStyle name="xl48" xfId="54"/>
    <cellStyle name="xl49" xfId="57"/>
    <cellStyle name="xl50" xfId="58"/>
    <cellStyle name="xl51" xfId="38"/>
    <cellStyle name="xl52" xfId="27"/>
    <cellStyle name="xl53" xfId="30"/>
    <cellStyle name="xl54" xfId="2"/>
    <cellStyle name="xl55" xfId="14"/>
    <cellStyle name="xl56" xfId="21"/>
    <cellStyle name="xl57" xfId="3"/>
    <cellStyle name="xl58" xfId="8"/>
    <cellStyle name="xl59" xfId="15"/>
    <cellStyle name="xl60" xfId="22"/>
    <cellStyle name="xl61" xfId="36"/>
    <cellStyle name="xl62" xfId="4"/>
    <cellStyle name="xl63" xfId="9"/>
    <cellStyle name="xl64" xfId="16"/>
    <cellStyle name="xl65" xfId="23"/>
    <cellStyle name="xl66" xfId="26"/>
    <cellStyle name="xl67" xfId="28"/>
    <cellStyle name="xl68" xfId="31"/>
    <cellStyle name="xl69" xfId="34"/>
    <cellStyle name="xl70" xfId="35"/>
    <cellStyle name="xl71" xfId="37"/>
    <cellStyle name="xl72" xfId="10"/>
    <cellStyle name="xl73" xfId="17"/>
    <cellStyle name="xl74" xfId="18"/>
    <cellStyle name="xl75" xfId="24"/>
    <cellStyle name="xl76" xfId="29"/>
    <cellStyle name="xl77" xfId="19"/>
    <cellStyle name="xl78" xfId="46"/>
    <cellStyle name="xl79" xfId="50"/>
    <cellStyle name="xl80" xfId="55"/>
    <cellStyle name="xl81" xfId="59"/>
    <cellStyle name="xl82" xfId="62"/>
    <cellStyle name="xl83" xfId="66"/>
    <cellStyle name="xl84" xfId="69"/>
    <cellStyle name="xl85" xfId="73"/>
    <cellStyle name="xl86" xfId="74"/>
    <cellStyle name="xl87" xfId="60"/>
    <cellStyle name="xl88" xfId="70"/>
    <cellStyle name="xl89" xfId="75"/>
    <cellStyle name="xl90" xfId="67"/>
    <cellStyle name="xl91" xfId="71"/>
    <cellStyle name="xl92" xfId="76"/>
    <cellStyle name="xl93" xfId="63"/>
    <cellStyle name="xl94" xfId="77"/>
    <cellStyle name="xl95" xfId="61"/>
    <cellStyle name="xl96" xfId="68"/>
    <cellStyle name="xl97" xfId="78"/>
    <cellStyle name="xl98" xfId="64"/>
    <cellStyle name="xl99" xfId="6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2"/>
  <sheetViews>
    <sheetView tabSelected="1" topLeftCell="A55" zoomScale="85" zoomScaleNormal="85" workbookViewId="0">
      <selection activeCell="J89" sqref="J89"/>
    </sheetView>
  </sheetViews>
  <sheetFormatPr defaultRowHeight="18.75"/>
  <cols>
    <col min="1" max="1" width="74.85546875" style="1" customWidth="1"/>
    <col min="2" max="2" width="26" style="1" customWidth="1"/>
    <col min="3" max="3" width="27.28515625" style="1" customWidth="1"/>
    <col min="4" max="4" width="21.28515625" style="1" customWidth="1"/>
    <col min="5" max="5" width="29.28515625" style="1" customWidth="1"/>
    <col min="6" max="6" width="26.140625" style="1" customWidth="1"/>
    <col min="7" max="7" width="9.140625" style="1" hidden="1"/>
    <col min="8" max="8" width="24.5703125" style="1" customWidth="1"/>
    <col min="9" max="9" width="23.5703125" style="1" customWidth="1"/>
    <col min="10" max="10" width="21.7109375" style="1" customWidth="1"/>
    <col min="11" max="11" width="22.85546875" style="1" bestFit="1" customWidth="1"/>
    <col min="12" max="12" width="22.140625" style="1" bestFit="1" customWidth="1"/>
    <col min="13" max="16384" width="9.140625" style="1"/>
  </cols>
  <sheetData>
    <row r="1" spans="1:11">
      <c r="A1" s="44" t="s">
        <v>98</v>
      </c>
      <c r="B1" s="44"/>
      <c r="C1" s="44"/>
      <c r="D1" s="44"/>
      <c r="E1" s="44"/>
      <c r="F1" s="44"/>
      <c r="G1" s="44"/>
      <c r="H1" s="44"/>
      <c r="I1" s="44"/>
      <c r="J1" s="44"/>
    </row>
    <row r="2" spans="1:11">
      <c r="A2" s="44"/>
      <c r="B2" s="44"/>
      <c r="C2" s="44"/>
      <c r="D2" s="44"/>
      <c r="E2" s="44"/>
      <c r="F2" s="44"/>
      <c r="G2" s="44"/>
      <c r="H2" s="44"/>
      <c r="I2" s="44"/>
      <c r="J2" s="44"/>
    </row>
    <row r="3" spans="1:11">
      <c r="A3" s="44"/>
      <c r="B3" s="44"/>
      <c r="C3" s="44"/>
      <c r="D3" s="44"/>
      <c r="E3" s="44"/>
      <c r="F3" s="44"/>
      <c r="G3" s="44"/>
      <c r="H3" s="44"/>
      <c r="I3" s="44"/>
      <c r="J3" s="44"/>
    </row>
    <row r="4" spans="1:11" ht="18.75" customHeight="1">
      <c r="A4" s="43" t="s">
        <v>0</v>
      </c>
      <c r="B4" s="45" t="s">
        <v>87</v>
      </c>
      <c r="C4" s="46"/>
      <c r="D4" s="46"/>
      <c r="E4" s="47" t="s">
        <v>88</v>
      </c>
      <c r="F4" s="47"/>
      <c r="G4" s="47"/>
      <c r="H4" s="47"/>
      <c r="I4" s="42" t="s">
        <v>85</v>
      </c>
      <c r="J4" s="42" t="s">
        <v>99</v>
      </c>
    </row>
    <row r="5" spans="1:11" ht="56.25">
      <c r="A5" s="43"/>
      <c r="B5" s="2" t="s">
        <v>1</v>
      </c>
      <c r="C5" s="23" t="s">
        <v>2</v>
      </c>
      <c r="D5" s="43" t="s">
        <v>89</v>
      </c>
      <c r="E5" s="3" t="s">
        <v>1</v>
      </c>
      <c r="F5" s="3" t="s">
        <v>2</v>
      </c>
      <c r="G5" s="4"/>
      <c r="H5" s="43" t="s">
        <v>92</v>
      </c>
      <c r="I5" s="42"/>
      <c r="J5" s="42"/>
    </row>
    <row r="6" spans="1:11" ht="150">
      <c r="A6" s="43"/>
      <c r="B6" s="5" t="s">
        <v>3</v>
      </c>
      <c r="C6" s="24" t="s">
        <v>3</v>
      </c>
      <c r="D6" s="43"/>
      <c r="E6" s="6" t="s">
        <v>3</v>
      </c>
      <c r="F6" s="6" t="s">
        <v>3</v>
      </c>
      <c r="G6" s="4"/>
      <c r="H6" s="43"/>
      <c r="I6" s="42"/>
      <c r="J6" s="42"/>
    </row>
    <row r="7" spans="1:11" ht="19.5" thickBot="1">
      <c r="A7" s="3" t="s">
        <v>4</v>
      </c>
      <c r="B7" s="33">
        <v>3</v>
      </c>
      <c r="C7" s="34">
        <v>4</v>
      </c>
      <c r="D7" s="35" t="s">
        <v>95</v>
      </c>
      <c r="E7" s="36" t="s">
        <v>5</v>
      </c>
      <c r="F7" s="36" t="s">
        <v>6</v>
      </c>
      <c r="G7" s="37"/>
      <c r="H7" s="37">
        <v>8</v>
      </c>
      <c r="I7" s="38" t="s">
        <v>96</v>
      </c>
      <c r="J7" s="38" t="s">
        <v>97</v>
      </c>
    </row>
    <row r="8" spans="1:11">
      <c r="A8" s="7" t="s">
        <v>7</v>
      </c>
      <c r="B8" s="8">
        <f>16945152531.01/1000</f>
        <v>16945152.531010002</v>
      </c>
      <c r="C8" s="8">
        <f>16767418113.55/1000</f>
        <v>16767418.11355</v>
      </c>
      <c r="D8" s="25">
        <f>C8/B8*100</f>
        <v>98.951119400461323</v>
      </c>
      <c r="E8" s="39">
        <v>18367172.013490003</v>
      </c>
      <c r="F8" s="39">
        <v>19158545.768070001</v>
      </c>
      <c r="G8" s="9"/>
      <c r="H8" s="32">
        <f>F8/E8*100</f>
        <v>104.30863147575884</v>
      </c>
      <c r="I8" s="11">
        <f>F8-C8</f>
        <v>2391127.6545200013</v>
      </c>
      <c r="J8" s="11">
        <f>F8/C8*100</f>
        <v>114.26055960629797</v>
      </c>
      <c r="K8" s="27"/>
    </row>
    <row r="9" spans="1:11">
      <c r="A9" s="12" t="s">
        <v>8</v>
      </c>
      <c r="B9" s="13"/>
      <c r="C9" s="13"/>
      <c r="D9" s="25"/>
      <c r="E9" s="13"/>
      <c r="F9" s="13"/>
      <c r="G9" s="9"/>
      <c r="H9" s="32"/>
      <c r="I9" s="11"/>
      <c r="J9" s="11"/>
      <c r="K9" s="27"/>
    </row>
    <row r="10" spans="1:11">
      <c r="A10" s="14" t="s">
        <v>9</v>
      </c>
      <c r="B10" s="15">
        <f>7349526236.05/1000</f>
        <v>7349526.2360500004</v>
      </c>
      <c r="C10" s="15">
        <f>7464885693.02/1000</f>
        <v>7464885.6930200001</v>
      </c>
      <c r="D10" s="25">
        <f t="shared" ref="D10:D72" si="0">C10/B10*100</f>
        <v>101.56961759526963</v>
      </c>
      <c r="E10" s="40">
        <v>7347087.4732100004</v>
      </c>
      <c r="F10" s="40">
        <v>8386589.7647399995</v>
      </c>
      <c r="G10" s="9"/>
      <c r="H10" s="32">
        <f t="shared" ref="H10:H73" si="1">F10/E10*100</f>
        <v>114.14849483309379</v>
      </c>
      <c r="I10" s="11">
        <f t="shared" ref="I10:I72" si="2">F10-C10</f>
        <v>921704.07171999943</v>
      </c>
      <c r="J10" s="11">
        <f t="shared" ref="J10:J73" si="3">F10/C10*100</f>
        <v>112.34719605394406</v>
      </c>
      <c r="K10" s="27"/>
    </row>
    <row r="11" spans="1:11">
      <c r="A11" s="14" t="s">
        <v>84</v>
      </c>
      <c r="B11" s="15">
        <f>3020122196.71/1000</f>
        <v>3020122.1967099998</v>
      </c>
      <c r="C11" s="15">
        <f>2989246436.03/1000</f>
        <v>2989246.43603</v>
      </c>
      <c r="D11" s="25">
        <f t="shared" si="0"/>
        <v>98.97766518475197</v>
      </c>
      <c r="E11" s="40">
        <v>3182219.9378299997</v>
      </c>
      <c r="F11" s="40">
        <v>3850541.5401599999</v>
      </c>
      <c r="G11" s="9"/>
      <c r="H11" s="32">
        <f t="shared" si="1"/>
        <v>121.00174140652697</v>
      </c>
      <c r="I11" s="11">
        <f t="shared" si="2"/>
        <v>861295.10412999988</v>
      </c>
      <c r="J11" s="11">
        <f t="shared" si="3"/>
        <v>128.81311804034067</v>
      </c>
      <c r="K11" s="27"/>
    </row>
    <row r="12" spans="1:11">
      <c r="A12" s="14" t="s">
        <v>83</v>
      </c>
      <c r="B12" s="15">
        <f>38884590.27/1000</f>
        <v>38884.590270000001</v>
      </c>
      <c r="C12" s="15">
        <f>43474944.67/1000</f>
        <v>43474.944670000004</v>
      </c>
      <c r="D12" s="25">
        <f t="shared" si="0"/>
        <v>111.8050733417179</v>
      </c>
      <c r="E12" s="40">
        <v>37292.514139999999</v>
      </c>
      <c r="F12" s="40">
        <v>42824.242659999996</v>
      </c>
      <c r="G12" s="9"/>
      <c r="H12" s="32">
        <f t="shared" si="1"/>
        <v>114.83334832088099</v>
      </c>
      <c r="I12" s="11">
        <f t="shared" si="2"/>
        <v>-650.70201000000816</v>
      </c>
      <c r="J12" s="11">
        <f t="shared" si="3"/>
        <v>98.503271217619229</v>
      </c>
    </row>
    <row r="13" spans="1:11">
      <c r="A13" s="14" t="s">
        <v>10</v>
      </c>
      <c r="B13" s="15">
        <f>1564894892.35/1000</f>
        <v>1564894.8923499999</v>
      </c>
      <c r="C13" s="15">
        <f>1592362851.87/1000</f>
        <v>1592362.8518699999</v>
      </c>
      <c r="D13" s="25">
        <f t="shared" si="0"/>
        <v>101.7552590691092</v>
      </c>
      <c r="E13" s="40">
        <v>1753631.6435</v>
      </c>
      <c r="F13" s="40">
        <v>1804815.4544200001</v>
      </c>
      <c r="G13" s="9"/>
      <c r="H13" s="32">
        <f t="shared" si="1"/>
        <v>102.9187321698783</v>
      </c>
      <c r="I13" s="11">
        <f t="shared" si="2"/>
        <v>212452.60255000019</v>
      </c>
      <c r="J13" s="11">
        <f t="shared" si="3"/>
        <v>113.34197179370929</v>
      </c>
    </row>
    <row r="14" spans="1:11">
      <c r="A14" s="14" t="s">
        <v>11</v>
      </c>
      <c r="B14" s="15">
        <f>1529444978.98/1000</f>
        <v>1529444.9789800001</v>
      </c>
      <c r="C14" s="15">
        <f>1634891539.06/1000</f>
        <v>1634891.5390599999</v>
      </c>
      <c r="D14" s="25">
        <f t="shared" si="0"/>
        <v>106.89443304788399</v>
      </c>
      <c r="E14" s="40">
        <v>1407382.46422</v>
      </c>
      <c r="F14" s="40">
        <v>1617338.8709500001</v>
      </c>
      <c r="G14" s="9"/>
      <c r="H14" s="32">
        <f t="shared" si="1"/>
        <v>114.91821960751531</v>
      </c>
      <c r="I14" s="11">
        <f t="shared" si="2"/>
        <v>-17552.668109999737</v>
      </c>
      <c r="J14" s="11">
        <f t="shared" si="3"/>
        <v>98.926371096146724</v>
      </c>
    </row>
    <row r="15" spans="1:11">
      <c r="A15" s="14" t="s">
        <v>12</v>
      </c>
      <c r="B15" s="15">
        <f>58002000/1000</f>
        <v>58002</v>
      </c>
      <c r="C15" s="15">
        <f>59381984.72/1000</f>
        <v>59381.98472</v>
      </c>
      <c r="D15" s="25">
        <f t="shared" si="0"/>
        <v>102.37920195855314</v>
      </c>
      <c r="E15" s="40">
        <v>63905.42</v>
      </c>
      <c r="F15" s="40">
        <v>65123.445469999999</v>
      </c>
      <c r="G15" s="9"/>
      <c r="H15" s="32">
        <f t="shared" si="1"/>
        <v>101.9059814801311</v>
      </c>
      <c r="I15" s="11">
        <f t="shared" si="2"/>
        <v>5741.4607499999984</v>
      </c>
      <c r="J15" s="11">
        <f t="shared" si="3"/>
        <v>109.66869123198279</v>
      </c>
    </row>
    <row r="16" spans="1:11" ht="56.25">
      <c r="A16" s="14" t="s">
        <v>13</v>
      </c>
      <c r="B16" s="15">
        <v>0</v>
      </c>
      <c r="C16" s="15">
        <f>1366.04/1000</f>
        <v>1.3660399999999999</v>
      </c>
      <c r="D16" s="25"/>
      <c r="E16" s="15">
        <v>0</v>
      </c>
      <c r="F16" s="15">
        <v>0</v>
      </c>
      <c r="G16" s="9"/>
      <c r="H16" s="32">
        <v>0</v>
      </c>
      <c r="I16" s="11">
        <f t="shared" si="2"/>
        <v>-1.3660399999999999</v>
      </c>
      <c r="J16" s="11">
        <f t="shared" si="3"/>
        <v>0</v>
      </c>
    </row>
    <row r="17" spans="1:11" ht="56.25">
      <c r="A17" s="14" t="s">
        <v>14</v>
      </c>
      <c r="B17" s="15">
        <f>608934035.33/1000</f>
        <v>608934.0353300001</v>
      </c>
      <c r="C17" s="15">
        <f>614831735.6/1000</f>
        <v>614831.73560000001</v>
      </c>
      <c r="D17" s="25">
        <f t="shared" si="0"/>
        <v>100.9685285971581</v>
      </c>
      <c r="E17" s="40">
        <v>445932.69789000001</v>
      </c>
      <c r="F17" s="40">
        <v>503442.16004000005</v>
      </c>
      <c r="G17" s="9"/>
      <c r="H17" s="32">
        <f t="shared" si="1"/>
        <v>112.89644433389053</v>
      </c>
      <c r="I17" s="11">
        <f t="shared" si="2"/>
        <v>-111389.57555999997</v>
      </c>
      <c r="J17" s="11">
        <f t="shared" si="3"/>
        <v>81.882917047003517</v>
      </c>
    </row>
    <row r="18" spans="1:11" ht="37.5">
      <c r="A18" s="14" t="s">
        <v>15</v>
      </c>
      <c r="B18" s="15">
        <f>84000000/1000</f>
        <v>84000</v>
      </c>
      <c r="C18" s="15">
        <f>81196699.75/1000</f>
        <v>81196.69975</v>
      </c>
      <c r="D18" s="25">
        <f t="shared" si="0"/>
        <v>96.662737797619044</v>
      </c>
      <c r="E18" s="40">
        <v>41800</v>
      </c>
      <c r="F18" s="40">
        <v>41532.062130000006</v>
      </c>
      <c r="G18" s="9"/>
      <c r="H18" s="32">
        <f t="shared" si="1"/>
        <v>99.359000311004792</v>
      </c>
      <c r="I18" s="11">
        <f t="shared" si="2"/>
        <v>-39664.637619999994</v>
      </c>
      <c r="J18" s="11">
        <f t="shared" si="3"/>
        <v>51.149938677156648</v>
      </c>
    </row>
    <row r="19" spans="1:11" ht="37.5">
      <c r="A19" s="14" t="s">
        <v>16</v>
      </c>
      <c r="B19" s="15">
        <f>47483787.82/1000</f>
        <v>47483.787819999998</v>
      </c>
      <c r="C19" s="15">
        <f>50238599.11/1000</f>
        <v>50238.599110000003</v>
      </c>
      <c r="D19" s="25">
        <f t="shared" si="0"/>
        <v>105.80158284853529</v>
      </c>
      <c r="E19" s="40">
        <v>29152.96198</v>
      </c>
      <c r="F19" s="40">
        <v>34194.948830000001</v>
      </c>
      <c r="G19" s="9"/>
      <c r="H19" s="32">
        <f t="shared" si="1"/>
        <v>117.29493851588386</v>
      </c>
      <c r="I19" s="11">
        <f t="shared" si="2"/>
        <v>-16043.650280000002</v>
      </c>
      <c r="J19" s="11">
        <f t="shared" si="3"/>
        <v>68.065092251335273</v>
      </c>
    </row>
    <row r="20" spans="1:11" ht="37.5">
      <c r="A20" s="14" t="s">
        <v>17</v>
      </c>
      <c r="B20" s="15">
        <f>324380636.33/1000</f>
        <v>324380.63633000001</v>
      </c>
      <c r="C20" s="15">
        <f>316032231.4/1000</f>
        <v>316032.23139999999</v>
      </c>
      <c r="D20" s="25">
        <f t="shared" si="0"/>
        <v>97.426355338452751</v>
      </c>
      <c r="E20" s="40">
        <v>328390.85531000001</v>
      </c>
      <c r="F20" s="40">
        <v>357804.17700000003</v>
      </c>
      <c r="G20" s="9"/>
      <c r="H20" s="32">
        <f t="shared" si="1"/>
        <v>108.95680291165048</v>
      </c>
      <c r="I20" s="11">
        <f t="shared" si="2"/>
        <v>41771.945600000035</v>
      </c>
      <c r="J20" s="11">
        <f t="shared" si="3"/>
        <v>113.2176219542397</v>
      </c>
    </row>
    <row r="21" spans="1:11">
      <c r="A21" s="14" t="s">
        <v>18</v>
      </c>
      <c r="B21" s="15">
        <f>44392742.14/1000</f>
        <v>44392.742140000002</v>
      </c>
      <c r="C21" s="15">
        <f>48135145.79/1000</f>
        <v>48135.145790000002</v>
      </c>
      <c r="D21" s="25">
        <f t="shared" si="0"/>
        <v>108.43021509731861</v>
      </c>
      <c r="E21" s="40">
        <v>27603.311000000002</v>
      </c>
      <c r="F21" s="40">
        <v>37579.835149999999</v>
      </c>
      <c r="G21" s="9"/>
      <c r="H21" s="32">
        <f t="shared" si="1"/>
        <v>136.14249084104441</v>
      </c>
      <c r="I21" s="11">
        <f t="shared" si="2"/>
        <v>-10555.310640000003</v>
      </c>
      <c r="J21" s="11">
        <f t="shared" si="3"/>
        <v>78.071509981397313</v>
      </c>
    </row>
    <row r="22" spans="1:11">
      <c r="A22" s="14" t="s">
        <v>19</v>
      </c>
      <c r="B22" s="15">
        <f>28986376.12/1000</f>
        <v>28986.376120000001</v>
      </c>
      <c r="C22" s="15">
        <f>35092158.98/1000</f>
        <v>35092.15898</v>
      </c>
      <c r="D22" s="25">
        <f t="shared" si="0"/>
        <v>121.06431944001146</v>
      </c>
      <c r="E22" s="40">
        <v>29775.66734</v>
      </c>
      <c r="F22" s="40">
        <v>31392.984109999998</v>
      </c>
      <c r="G22" s="9"/>
      <c r="H22" s="32">
        <f t="shared" si="1"/>
        <v>105.43167261889485</v>
      </c>
      <c r="I22" s="11">
        <f t="shared" si="2"/>
        <v>-3699.1748700000026</v>
      </c>
      <c r="J22" s="11">
        <f t="shared" si="3"/>
        <v>89.458685422836865</v>
      </c>
    </row>
    <row r="23" spans="1:11">
      <c r="A23" s="14" t="s">
        <v>20</v>
      </c>
      <c r="B23" s="15">
        <f>9595626294.96/1000</f>
        <v>9595626.2949599996</v>
      </c>
      <c r="C23" s="15">
        <f>9302532420.53/1000</f>
        <v>9302532.4205300007</v>
      </c>
      <c r="D23" s="25">
        <f t="shared" si="0"/>
        <v>96.945547216819577</v>
      </c>
      <c r="E23" s="40">
        <v>11020084.540280001</v>
      </c>
      <c r="F23" s="40">
        <v>10771956.00333</v>
      </c>
      <c r="G23" s="9"/>
      <c r="H23" s="32">
        <f t="shared" si="1"/>
        <v>97.748397155729108</v>
      </c>
      <c r="I23" s="11">
        <f t="shared" si="2"/>
        <v>1469423.582799999</v>
      </c>
      <c r="J23" s="11">
        <f t="shared" si="3"/>
        <v>115.79595228883149</v>
      </c>
    </row>
    <row r="24" spans="1:11" ht="37.5">
      <c r="A24" s="14" t="s">
        <v>93</v>
      </c>
      <c r="B24" s="15"/>
      <c r="C24" s="15"/>
      <c r="D24" s="25"/>
      <c r="E24" s="40">
        <v>861.67706999999996</v>
      </c>
      <c r="F24" s="40">
        <v>861.67706999999996</v>
      </c>
      <c r="G24" s="9"/>
      <c r="H24" s="32"/>
      <c r="I24" s="11"/>
      <c r="J24" s="11"/>
    </row>
    <row r="25" spans="1:11" ht="56.25">
      <c r="A25" s="14" t="s">
        <v>21</v>
      </c>
      <c r="B25" s="15">
        <f>9577123782.85/1000</f>
        <v>9577123.782850001</v>
      </c>
      <c r="C25" s="15">
        <f>9336215279.19/1000</f>
        <v>9336215.2791900001</v>
      </c>
      <c r="D25" s="25">
        <f t="shared" si="0"/>
        <v>97.484542237081641</v>
      </c>
      <c r="E25" s="40">
        <v>10989054.863209998</v>
      </c>
      <c r="F25" s="40">
        <v>10768422.60014</v>
      </c>
      <c r="G25" s="9"/>
      <c r="H25" s="32">
        <f t="shared" si="1"/>
        <v>97.992254422091861</v>
      </c>
      <c r="I25" s="11">
        <f t="shared" si="2"/>
        <v>1432207.3209499996</v>
      </c>
      <c r="J25" s="11">
        <f t="shared" si="3"/>
        <v>115.34034164938683</v>
      </c>
    </row>
    <row r="26" spans="1:11">
      <c r="A26" s="14" t="s">
        <v>22</v>
      </c>
      <c r="B26" s="15">
        <f>18058000/1000</f>
        <v>18058</v>
      </c>
      <c r="C26" s="15">
        <f>18218100/1000</f>
        <v>18218.099999999999</v>
      </c>
      <c r="D26" s="25">
        <f t="shared" si="0"/>
        <v>100.88658766197807</v>
      </c>
      <c r="E26" s="40">
        <v>30168</v>
      </c>
      <c r="F26" s="40">
        <v>39324.003880000004</v>
      </c>
      <c r="G26" s="9"/>
      <c r="H26" s="32">
        <f t="shared" si="1"/>
        <v>130.35005263855743</v>
      </c>
      <c r="I26" s="11">
        <f t="shared" si="2"/>
        <v>21105.903880000005</v>
      </c>
      <c r="J26" s="11">
        <f t="shared" si="3"/>
        <v>215.85129009062422</v>
      </c>
      <c r="K26" s="27"/>
    </row>
    <row r="27" spans="1:11" ht="131.25">
      <c r="A27" s="14" t="s">
        <v>23</v>
      </c>
      <c r="B27" s="15">
        <v>0</v>
      </c>
      <c r="C27" s="15">
        <f>22919041.87/1000</f>
        <v>22919.041870000001</v>
      </c>
      <c r="D27" s="25">
        <v>0</v>
      </c>
      <c r="E27" s="15">
        <v>0</v>
      </c>
      <c r="F27" s="40">
        <v>0.28602</v>
      </c>
      <c r="G27" s="9"/>
      <c r="H27" s="32">
        <v>0</v>
      </c>
      <c r="I27" s="11">
        <f t="shared" si="2"/>
        <v>-22918.755850000001</v>
      </c>
      <c r="J27" s="11">
        <f t="shared" si="3"/>
        <v>1.2479579278328705E-3</v>
      </c>
      <c r="K27" s="27"/>
    </row>
    <row r="28" spans="1:11" ht="56.25">
      <c r="A28" s="14" t="s">
        <v>24</v>
      </c>
      <c r="B28" s="15">
        <v>0</v>
      </c>
      <c r="C28" s="15">
        <f>-75264512.64/1000</f>
        <v>-75264.512640000001</v>
      </c>
      <c r="D28" s="25">
        <v>0</v>
      </c>
      <c r="E28" s="15">
        <v>0</v>
      </c>
      <c r="F28" s="40">
        <v>-36652.563780000004</v>
      </c>
      <c r="G28" s="9"/>
      <c r="H28" s="32">
        <v>0</v>
      </c>
      <c r="I28" s="11">
        <f t="shared" si="2"/>
        <v>38611.948859999997</v>
      </c>
      <c r="J28" s="11">
        <f t="shared" si="3"/>
        <v>48.698334041321715</v>
      </c>
    </row>
    <row r="29" spans="1:11" s="16" customFormat="1">
      <c r="A29" s="29" t="s">
        <v>25</v>
      </c>
      <c r="B29" s="15">
        <f>17733710382.04/1000</f>
        <v>17733710.382040001</v>
      </c>
      <c r="C29" s="15">
        <f>15896246109.44/1000</f>
        <v>15896246.109440001</v>
      </c>
      <c r="D29" s="25">
        <f t="shared" si="0"/>
        <v>89.638579671060199</v>
      </c>
      <c r="E29" s="40">
        <v>19953856.51952</v>
      </c>
      <c r="F29" s="40">
        <v>18903717.204189997</v>
      </c>
      <c r="G29" s="20"/>
      <c r="H29" s="32">
        <f t="shared" si="1"/>
        <v>94.737161138235621</v>
      </c>
      <c r="I29" s="11">
        <f t="shared" si="2"/>
        <v>3007471.0947499964</v>
      </c>
      <c r="J29" s="11">
        <f t="shared" si="3"/>
        <v>118.919379292725</v>
      </c>
    </row>
    <row r="30" spans="1:11" s="16" customFormat="1">
      <c r="A30" s="30" t="s">
        <v>8</v>
      </c>
      <c r="B30" s="28"/>
      <c r="C30" s="28"/>
      <c r="D30" s="25"/>
      <c r="E30" s="28"/>
      <c r="F30" s="28"/>
      <c r="G30" s="20"/>
      <c r="H30" s="32"/>
      <c r="I30" s="11"/>
      <c r="J30" s="11"/>
    </row>
    <row r="31" spans="1:11" s="16" customFormat="1">
      <c r="A31" s="14" t="s">
        <v>26</v>
      </c>
      <c r="B31" s="15">
        <f>1769033431.33/1000</f>
        <v>1769033.4313299998</v>
      </c>
      <c r="C31" s="15">
        <f>1589542464.01/1000</f>
        <v>1589542.46401</v>
      </c>
      <c r="D31" s="25">
        <f t="shared" si="0"/>
        <v>89.853726665580623</v>
      </c>
      <c r="E31" s="40">
        <v>1780005.28532</v>
      </c>
      <c r="F31" s="40">
        <v>1653557.4045899999</v>
      </c>
      <c r="G31" s="20"/>
      <c r="H31" s="32">
        <f t="shared" si="1"/>
        <v>92.896207568997866</v>
      </c>
      <c r="I31" s="11">
        <f t="shared" si="2"/>
        <v>64014.940579999937</v>
      </c>
      <c r="J31" s="11">
        <f t="shared" si="3"/>
        <v>104.02725576883974</v>
      </c>
      <c r="K31" s="31"/>
    </row>
    <row r="32" spans="1:11" s="16" customFormat="1" ht="56.25">
      <c r="A32" s="14" t="s">
        <v>27</v>
      </c>
      <c r="B32" s="15">
        <f>17196127.57/1000</f>
        <v>17196.127570000001</v>
      </c>
      <c r="C32" s="15">
        <f>16447496.56/1000</f>
        <v>16447.49656</v>
      </c>
      <c r="D32" s="25">
        <f t="shared" si="0"/>
        <v>95.646513978495676</v>
      </c>
      <c r="E32" s="40">
        <v>17188.454180000001</v>
      </c>
      <c r="F32" s="40">
        <v>17091.639449999999</v>
      </c>
      <c r="G32" s="20"/>
      <c r="H32" s="32">
        <f t="shared" si="1"/>
        <v>99.436745567773897</v>
      </c>
      <c r="I32" s="11">
        <f t="shared" si="2"/>
        <v>644.14288999999917</v>
      </c>
      <c r="J32" s="11">
        <f t="shared" si="3"/>
        <v>103.91635825944807</v>
      </c>
      <c r="K32" s="31"/>
    </row>
    <row r="33" spans="1:11" s="16" customFormat="1" ht="56.25">
      <c r="A33" s="14" t="s">
        <v>28</v>
      </c>
      <c r="B33" s="15">
        <f>100842835.13/1000</f>
        <v>100842.83512999999</v>
      </c>
      <c r="C33" s="15">
        <f>95422725.07/1000</f>
        <v>95422.725069999986</v>
      </c>
      <c r="D33" s="25">
        <f t="shared" si="0"/>
        <v>94.625190720775805</v>
      </c>
      <c r="E33" s="40">
        <v>108880.75568999999</v>
      </c>
      <c r="F33" s="40">
        <v>103603.22728000001</v>
      </c>
      <c r="G33" s="20"/>
      <c r="H33" s="32">
        <f t="shared" si="1"/>
        <v>95.152928195111073</v>
      </c>
      <c r="I33" s="11">
        <f t="shared" si="2"/>
        <v>8180.5022100000206</v>
      </c>
      <c r="J33" s="11">
        <f t="shared" si="3"/>
        <v>108.57290776803848</v>
      </c>
      <c r="K33" s="31"/>
    </row>
    <row r="34" spans="1:11" s="16" customFormat="1" ht="75">
      <c r="A34" s="14" t="s">
        <v>29</v>
      </c>
      <c r="B34" s="15">
        <f>682436808.43/1000</f>
        <v>682436.80842999998</v>
      </c>
      <c r="C34" s="15">
        <f>650912905.13/1000</f>
        <v>650912.90512999997</v>
      </c>
      <c r="D34" s="25">
        <f t="shared" si="0"/>
        <v>95.38068537473481</v>
      </c>
      <c r="E34" s="40">
        <v>715390.50551000005</v>
      </c>
      <c r="F34" s="40">
        <v>701471.96935000003</v>
      </c>
      <c r="G34" s="20"/>
      <c r="H34" s="32">
        <f t="shared" si="1"/>
        <v>98.054414190180296</v>
      </c>
      <c r="I34" s="11">
        <f t="shared" si="2"/>
        <v>50559.064220000058</v>
      </c>
      <c r="J34" s="11">
        <f t="shared" si="3"/>
        <v>107.76740848453488</v>
      </c>
    </row>
    <row r="35" spans="1:11" s="16" customFormat="1">
      <c r="A35" s="14" t="s">
        <v>30</v>
      </c>
      <c r="B35" s="15">
        <f>53015/1000</f>
        <v>53.015000000000001</v>
      </c>
      <c r="C35" s="15">
        <f>53015/1000</f>
        <v>53.015000000000001</v>
      </c>
      <c r="D35" s="25">
        <f t="shared" si="0"/>
        <v>100</v>
      </c>
      <c r="E35" s="40">
        <v>325</v>
      </c>
      <c r="F35" s="40">
        <v>122.264</v>
      </c>
      <c r="G35" s="20"/>
      <c r="H35" s="32">
        <f t="shared" si="1"/>
        <v>37.619692307692304</v>
      </c>
      <c r="I35" s="11">
        <f t="shared" si="2"/>
        <v>69.248999999999995</v>
      </c>
      <c r="J35" s="11">
        <f t="shared" si="3"/>
        <v>230.6215222106951</v>
      </c>
    </row>
    <row r="36" spans="1:11" s="16" customFormat="1" ht="56.25">
      <c r="A36" s="14" t="s">
        <v>31</v>
      </c>
      <c r="B36" s="15">
        <f>63148944.26/1000</f>
        <v>63148.944259999997</v>
      </c>
      <c r="C36" s="15">
        <f>62632186.19/1000</f>
        <v>62632.18619</v>
      </c>
      <c r="D36" s="25">
        <f t="shared" si="0"/>
        <v>99.181683754090372</v>
      </c>
      <c r="E36" s="40">
        <v>69664.774650000007</v>
      </c>
      <c r="F36" s="40">
        <v>65622.716010000004</v>
      </c>
      <c r="G36" s="20"/>
      <c r="H36" s="32">
        <f t="shared" si="1"/>
        <v>94.197844376433366</v>
      </c>
      <c r="I36" s="11">
        <f t="shared" si="2"/>
        <v>2990.5298200000034</v>
      </c>
      <c r="J36" s="11">
        <f t="shared" si="3"/>
        <v>104.77474921748377</v>
      </c>
    </row>
    <row r="37" spans="1:11" s="16" customFormat="1">
      <c r="A37" s="14" t="s">
        <v>32</v>
      </c>
      <c r="B37" s="15">
        <f>25842140/1000</f>
        <v>25842.14</v>
      </c>
      <c r="C37" s="15">
        <f>25655998.55/1000</f>
        <v>25655.99855</v>
      </c>
      <c r="D37" s="25">
        <f t="shared" si="0"/>
        <v>99.279698004886598</v>
      </c>
      <c r="E37" s="40">
        <v>3055.0577499999999</v>
      </c>
      <c r="F37" s="40">
        <v>3055.0574300000003</v>
      </c>
      <c r="G37" s="20"/>
      <c r="H37" s="32">
        <f t="shared" si="1"/>
        <v>99.999989525566264</v>
      </c>
      <c r="I37" s="11">
        <f t="shared" si="2"/>
        <v>-22600.94112</v>
      </c>
      <c r="J37" s="11">
        <f t="shared" si="3"/>
        <v>11.907770512405179</v>
      </c>
    </row>
    <row r="38" spans="1:11" s="16" customFormat="1">
      <c r="A38" s="14" t="s">
        <v>33</v>
      </c>
      <c r="B38" s="15">
        <f>32935658.22/1000</f>
        <v>32935.658219999998</v>
      </c>
      <c r="C38" s="15">
        <v>0</v>
      </c>
      <c r="D38" s="25">
        <f t="shared" si="0"/>
        <v>0</v>
      </c>
      <c r="E38" s="40">
        <v>47381.331420000002</v>
      </c>
      <c r="F38" s="15">
        <v>0</v>
      </c>
      <c r="G38" s="20"/>
      <c r="H38" s="32">
        <f t="shared" si="1"/>
        <v>0</v>
      </c>
      <c r="I38" s="11">
        <f t="shared" si="2"/>
        <v>0</v>
      </c>
      <c r="J38" s="11"/>
    </row>
    <row r="39" spans="1:11" s="16" customFormat="1">
      <c r="A39" s="14" t="s">
        <v>34</v>
      </c>
      <c r="B39" s="15">
        <f>846577902.72/1000</f>
        <v>846577.90272000001</v>
      </c>
      <c r="C39" s="15">
        <f>738418137.51/1000</f>
        <v>738418.13751000003</v>
      </c>
      <c r="D39" s="25">
        <f t="shared" si="0"/>
        <v>87.22388514246714</v>
      </c>
      <c r="E39" s="40">
        <v>818119.40612000006</v>
      </c>
      <c r="F39" s="40">
        <v>762590.53107000003</v>
      </c>
      <c r="G39" s="20"/>
      <c r="H39" s="32">
        <f t="shared" si="1"/>
        <v>93.212619742960214</v>
      </c>
      <c r="I39" s="11">
        <f t="shared" si="2"/>
        <v>24172.393559999997</v>
      </c>
      <c r="J39" s="11">
        <f t="shared" si="3"/>
        <v>103.27353735398633</v>
      </c>
    </row>
    <row r="40" spans="1:11" s="16" customFormat="1">
      <c r="A40" s="14" t="s">
        <v>35</v>
      </c>
      <c r="B40" s="15">
        <f>12798800/1000</f>
        <v>12798.8</v>
      </c>
      <c r="C40" s="15">
        <f>12782184.44/1000</f>
        <v>12782.184439999999</v>
      </c>
      <c r="D40" s="25">
        <f t="shared" si="0"/>
        <v>99.870178766759381</v>
      </c>
      <c r="E40" s="40">
        <v>14365.8</v>
      </c>
      <c r="F40" s="40">
        <v>14114.84539</v>
      </c>
      <c r="G40" s="20"/>
      <c r="H40" s="32">
        <f t="shared" si="1"/>
        <v>98.253110790906177</v>
      </c>
      <c r="I40" s="11">
        <f t="shared" si="2"/>
        <v>1332.6609500000013</v>
      </c>
      <c r="J40" s="11">
        <f t="shared" si="3"/>
        <v>110.42592489770082</v>
      </c>
    </row>
    <row r="41" spans="1:11" s="16" customFormat="1">
      <c r="A41" s="14" t="s">
        <v>36</v>
      </c>
      <c r="B41" s="15">
        <f>12798800/1000</f>
        <v>12798.8</v>
      </c>
      <c r="C41" s="15">
        <f>12782184.44/1000</f>
        <v>12782.184439999999</v>
      </c>
      <c r="D41" s="25">
        <f t="shared" si="0"/>
        <v>99.870178766759381</v>
      </c>
      <c r="E41" s="40">
        <v>14365.8</v>
      </c>
      <c r="F41" s="40">
        <v>14114.84539</v>
      </c>
      <c r="G41" s="20"/>
      <c r="H41" s="32">
        <f t="shared" si="1"/>
        <v>98.253110790906177</v>
      </c>
      <c r="I41" s="11">
        <f t="shared" si="2"/>
        <v>1332.6609500000013</v>
      </c>
      <c r="J41" s="11">
        <f t="shared" si="3"/>
        <v>110.42592489770082</v>
      </c>
    </row>
    <row r="42" spans="1:11" s="16" customFormat="1" ht="37.5">
      <c r="A42" s="14" t="s">
        <v>37</v>
      </c>
      <c r="B42" s="15">
        <f>101186401.21/1000</f>
        <v>101186.40121</v>
      </c>
      <c r="C42" s="15">
        <f>86168860.65/1000</f>
        <v>86168.860650000002</v>
      </c>
      <c r="D42" s="25">
        <f t="shared" si="0"/>
        <v>85.158538716252082</v>
      </c>
      <c r="E42" s="40">
        <v>136499.57538999998</v>
      </c>
      <c r="F42" s="40">
        <v>110208.85270999999</v>
      </c>
      <c r="G42" s="20"/>
      <c r="H42" s="32">
        <f t="shared" si="1"/>
        <v>80.739337389963737</v>
      </c>
      <c r="I42" s="11">
        <f t="shared" si="2"/>
        <v>24039.99205999999</v>
      </c>
      <c r="J42" s="11">
        <f t="shared" si="3"/>
        <v>127.89870015532112</v>
      </c>
    </row>
    <row r="43" spans="1:11" s="16" customFormat="1" ht="56.25">
      <c r="A43" s="14" t="s">
        <v>38</v>
      </c>
      <c r="B43" s="15">
        <f>51755943.64/1000</f>
        <v>51755.943639999998</v>
      </c>
      <c r="C43" s="15">
        <f>39898360.22/1000</f>
        <v>39898.360220000002</v>
      </c>
      <c r="D43" s="25">
        <f t="shared" si="0"/>
        <v>77.089426670532646</v>
      </c>
      <c r="E43" s="40">
        <v>84094.475999999995</v>
      </c>
      <c r="F43" s="40">
        <v>84094.475999999995</v>
      </c>
      <c r="G43" s="20"/>
      <c r="H43" s="32">
        <f t="shared" si="1"/>
        <v>100</v>
      </c>
      <c r="I43" s="11">
        <f t="shared" si="2"/>
        <v>44196.115779999993</v>
      </c>
      <c r="J43" s="11">
        <f t="shared" si="3"/>
        <v>210.771759882617</v>
      </c>
    </row>
    <row r="44" spans="1:11" s="16" customFormat="1">
      <c r="A44" s="14" t="s">
        <v>39</v>
      </c>
      <c r="B44" s="15">
        <f>22988878.43/1000</f>
        <v>22988.878430000001</v>
      </c>
      <c r="C44" s="15">
        <f>20282575.48/1000</f>
        <v>20282.57548</v>
      </c>
      <c r="D44" s="25">
        <f t="shared" si="0"/>
        <v>88.227773015371056</v>
      </c>
      <c r="E44" s="40">
        <v>27533.412760000003</v>
      </c>
      <c r="F44" s="40">
        <v>24274.423420000003</v>
      </c>
      <c r="G44" s="20"/>
      <c r="H44" s="32">
        <f t="shared" si="1"/>
        <v>88.163511118626772</v>
      </c>
      <c r="I44" s="11">
        <f t="shared" si="2"/>
        <v>3991.8479400000033</v>
      </c>
      <c r="J44" s="11">
        <f t="shared" si="3"/>
        <v>119.68116891238117</v>
      </c>
    </row>
    <row r="45" spans="1:11" s="16" customFormat="1" ht="37.5">
      <c r="A45" s="14" t="s">
        <v>40</v>
      </c>
      <c r="B45" s="15">
        <f>26441579.14/1000</f>
        <v>26441.579140000002</v>
      </c>
      <c r="C45" s="15">
        <f>25987924.95/1000</f>
        <v>25987.924950000001</v>
      </c>
      <c r="D45" s="25">
        <f t="shared" si="0"/>
        <v>98.284315064550256</v>
      </c>
      <c r="E45" s="40">
        <v>24871.68663</v>
      </c>
      <c r="F45" s="40">
        <v>24225.41894</v>
      </c>
      <c r="G45" s="20"/>
      <c r="H45" s="32">
        <f t="shared" si="1"/>
        <v>97.401592824748448</v>
      </c>
      <c r="I45" s="11">
        <f t="shared" si="2"/>
        <v>-1762.506010000001</v>
      </c>
      <c r="J45" s="11">
        <f t="shared" si="3"/>
        <v>93.217980991591247</v>
      </c>
    </row>
    <row r="46" spans="1:11" s="16" customFormat="1">
      <c r="A46" s="14" t="s">
        <v>41</v>
      </c>
      <c r="B46" s="15">
        <f>917347848.43/1000</f>
        <v>917347.8484299999</v>
      </c>
      <c r="C46" s="15">
        <f>780266248.67/1000</f>
        <v>780266.24867</v>
      </c>
      <c r="D46" s="25">
        <f t="shared" si="0"/>
        <v>85.056748103283937</v>
      </c>
      <c r="E46" s="40">
        <v>1165757.83048</v>
      </c>
      <c r="F46" s="40">
        <v>998714.49951999995</v>
      </c>
      <c r="G46" s="20"/>
      <c r="H46" s="32">
        <f t="shared" si="1"/>
        <v>85.670837750991552</v>
      </c>
      <c r="I46" s="11">
        <f t="shared" si="2"/>
        <v>218448.25084999995</v>
      </c>
      <c r="J46" s="11">
        <f t="shared" si="3"/>
        <v>127.9966295123434</v>
      </c>
    </row>
    <row r="47" spans="1:11" s="16" customFormat="1">
      <c r="A47" s="14" t="s">
        <v>42</v>
      </c>
      <c r="B47" s="15">
        <f>268432.25/1000</f>
        <v>268.43225000000001</v>
      </c>
      <c r="C47" s="15">
        <f>202592.25/1000</f>
        <v>202.59225000000001</v>
      </c>
      <c r="D47" s="25">
        <f t="shared" si="0"/>
        <v>75.472395734864193</v>
      </c>
      <c r="E47" s="40">
        <v>340.82350000000002</v>
      </c>
      <c r="F47" s="40">
        <v>335.13940000000002</v>
      </c>
      <c r="G47" s="20"/>
      <c r="H47" s="32">
        <f t="shared" si="1"/>
        <v>98.332245282382218</v>
      </c>
      <c r="I47" s="11">
        <f t="shared" si="2"/>
        <v>132.54715000000002</v>
      </c>
      <c r="J47" s="11">
        <f t="shared" si="3"/>
        <v>165.42557773063876</v>
      </c>
    </row>
    <row r="48" spans="1:11" s="16" customFormat="1">
      <c r="A48" s="14" t="s">
        <v>43</v>
      </c>
      <c r="B48" s="15">
        <f>10870000/1000</f>
        <v>10870</v>
      </c>
      <c r="C48" s="15">
        <f>10770000/1000</f>
        <v>10770</v>
      </c>
      <c r="D48" s="25">
        <f t="shared" si="0"/>
        <v>99.080036798528056</v>
      </c>
      <c r="E48" s="40">
        <v>13262</v>
      </c>
      <c r="F48" s="40">
        <v>13262</v>
      </c>
      <c r="G48" s="20"/>
      <c r="H48" s="32">
        <f t="shared" si="1"/>
        <v>100</v>
      </c>
      <c r="I48" s="11">
        <f t="shared" si="2"/>
        <v>2492</v>
      </c>
      <c r="J48" s="11">
        <f t="shared" si="3"/>
        <v>123.13834726090992</v>
      </c>
    </row>
    <row r="49" spans="1:10" s="16" customFormat="1">
      <c r="A49" s="14" t="s">
        <v>90</v>
      </c>
      <c r="B49" s="15">
        <f>1000/1000</f>
        <v>1</v>
      </c>
      <c r="C49" s="15">
        <v>0</v>
      </c>
      <c r="D49" s="25">
        <v>0</v>
      </c>
      <c r="E49" s="40">
        <v>1</v>
      </c>
      <c r="F49" s="15">
        <v>0</v>
      </c>
      <c r="G49" s="20"/>
      <c r="H49" s="32">
        <v>0</v>
      </c>
      <c r="I49" s="11">
        <v>0</v>
      </c>
      <c r="J49" s="11"/>
    </row>
    <row r="50" spans="1:10" s="16" customFormat="1">
      <c r="A50" s="14" t="s">
        <v>44</v>
      </c>
      <c r="B50" s="15">
        <f>751036686.96/1000</f>
        <v>751036.68696000008</v>
      </c>
      <c r="C50" s="15">
        <f>635973064.59/1000</f>
        <v>635973.06459000008</v>
      </c>
      <c r="D50" s="25">
        <f t="shared" si="0"/>
        <v>84.679360626742834</v>
      </c>
      <c r="E50" s="40">
        <v>999266.47714999993</v>
      </c>
      <c r="F50" s="40">
        <v>853658.83708000008</v>
      </c>
      <c r="G50" s="20"/>
      <c r="H50" s="32">
        <f t="shared" si="1"/>
        <v>85.428547499633297</v>
      </c>
      <c r="I50" s="11">
        <f t="shared" si="2"/>
        <v>217685.77249</v>
      </c>
      <c r="J50" s="11">
        <f t="shared" si="3"/>
        <v>134.22877235065576</v>
      </c>
    </row>
    <row r="51" spans="1:10" s="16" customFormat="1">
      <c r="A51" s="14" t="s">
        <v>45</v>
      </c>
      <c r="B51" s="15">
        <f>4700000/1000</f>
        <v>4700</v>
      </c>
      <c r="C51" s="15">
        <f>4700000/1000</f>
        <v>4700</v>
      </c>
      <c r="D51" s="25">
        <f t="shared" si="0"/>
        <v>100</v>
      </c>
      <c r="E51" s="40">
        <v>4800</v>
      </c>
      <c r="F51" s="40">
        <v>4800</v>
      </c>
      <c r="G51" s="20"/>
      <c r="H51" s="32">
        <f t="shared" si="1"/>
        <v>100</v>
      </c>
      <c r="I51" s="11">
        <f t="shared" si="2"/>
        <v>100</v>
      </c>
      <c r="J51" s="11">
        <f t="shared" si="3"/>
        <v>102.12765957446808</v>
      </c>
    </row>
    <row r="52" spans="1:10" s="16" customFormat="1">
      <c r="A52" s="14" t="s">
        <v>46</v>
      </c>
      <c r="B52" s="15">
        <f>150471729.22/1000</f>
        <v>150471.72922000001</v>
      </c>
      <c r="C52" s="15">
        <f>128620591.83/1000</f>
        <v>128620.59183</v>
      </c>
      <c r="D52" s="25">
        <f t="shared" si="0"/>
        <v>85.478243984255585</v>
      </c>
      <c r="E52" s="40">
        <v>148087.52983000001</v>
      </c>
      <c r="F52" s="40">
        <v>126658.52304</v>
      </c>
      <c r="G52" s="20"/>
      <c r="H52" s="32">
        <f t="shared" si="1"/>
        <v>85.529499469266682</v>
      </c>
      <c r="I52" s="11">
        <f t="shared" si="2"/>
        <v>-1962.0687900000048</v>
      </c>
      <c r="J52" s="11">
        <f t="shared" si="3"/>
        <v>98.474529807331862</v>
      </c>
    </row>
    <row r="53" spans="1:10" s="16" customFormat="1">
      <c r="A53" s="14" t="s">
        <v>47</v>
      </c>
      <c r="B53" s="15">
        <f>2711040127.83/1000</f>
        <v>2711040.1278300001</v>
      </c>
      <c r="C53" s="15">
        <f>2178336976.94/1000</f>
        <v>2178336.97694</v>
      </c>
      <c r="D53" s="25">
        <f t="shared" si="0"/>
        <v>80.350598819192243</v>
      </c>
      <c r="E53" s="40">
        <v>3340267.6951000001</v>
      </c>
      <c r="F53" s="40">
        <v>3062862.23422</v>
      </c>
      <c r="G53" s="20"/>
      <c r="H53" s="32">
        <f t="shared" si="1"/>
        <v>91.695112901072591</v>
      </c>
      <c r="I53" s="11">
        <f t="shared" si="2"/>
        <v>884525.25728000002</v>
      </c>
      <c r="J53" s="11">
        <f t="shared" si="3"/>
        <v>140.60552920157144</v>
      </c>
    </row>
    <row r="54" spans="1:10" s="16" customFormat="1">
      <c r="A54" s="14" t="s">
        <v>48</v>
      </c>
      <c r="B54" s="15">
        <f>358792405.98/1000</f>
        <v>358792.40598000004</v>
      </c>
      <c r="C54" s="15">
        <f>224764538.32/1000</f>
        <v>224764.53831999999</v>
      </c>
      <c r="D54" s="25">
        <f t="shared" si="0"/>
        <v>62.644731207752734</v>
      </c>
      <c r="E54" s="40">
        <v>473557.04764999996</v>
      </c>
      <c r="F54" s="40">
        <v>408943.76079999999</v>
      </c>
      <c r="G54" s="20"/>
      <c r="H54" s="32">
        <f t="shared" si="1"/>
        <v>86.355754355121576</v>
      </c>
      <c r="I54" s="11">
        <f t="shared" si="2"/>
        <v>184179.22248</v>
      </c>
      <c r="J54" s="11">
        <f t="shared" si="3"/>
        <v>181.94318545827804</v>
      </c>
    </row>
    <row r="55" spans="1:10" s="16" customFormat="1">
      <c r="A55" s="14" t="s">
        <v>49</v>
      </c>
      <c r="B55" s="15">
        <f>918115546.66/1000</f>
        <v>918115.54665999999</v>
      </c>
      <c r="C55" s="15">
        <f>692585307.06/1000</f>
        <v>692585.3070599999</v>
      </c>
      <c r="D55" s="25">
        <f t="shared" si="0"/>
        <v>75.435527650037798</v>
      </c>
      <c r="E55" s="40">
        <v>747978.39339999994</v>
      </c>
      <c r="F55" s="40">
        <v>619297.61341999995</v>
      </c>
      <c r="G55" s="20"/>
      <c r="H55" s="32">
        <f t="shared" si="1"/>
        <v>82.79619022214392</v>
      </c>
      <c r="I55" s="11">
        <f t="shared" si="2"/>
        <v>-73287.693639999954</v>
      </c>
      <c r="J55" s="11">
        <f t="shared" si="3"/>
        <v>89.418243082414833</v>
      </c>
    </row>
    <row r="56" spans="1:10" s="16" customFormat="1">
      <c r="A56" s="14" t="s">
        <v>50</v>
      </c>
      <c r="B56" s="15">
        <f>1249432075.31/1000</f>
        <v>1249432.07531</v>
      </c>
      <c r="C56" s="15">
        <f>1077406168.8/1000</f>
        <v>1077406.1687999999</v>
      </c>
      <c r="D56" s="25">
        <f t="shared" si="0"/>
        <v>86.231671980462139</v>
      </c>
      <c r="E56" s="40">
        <v>1902452.4261500002</v>
      </c>
      <c r="F56" s="40">
        <v>1822979.51575</v>
      </c>
      <c r="G56" s="20"/>
      <c r="H56" s="32">
        <f t="shared" si="1"/>
        <v>95.822607214371729</v>
      </c>
      <c r="I56" s="11">
        <f t="shared" si="2"/>
        <v>745573.34695000015</v>
      </c>
      <c r="J56" s="11">
        <f t="shared" si="3"/>
        <v>169.20076833979977</v>
      </c>
    </row>
    <row r="57" spans="1:10" s="16" customFormat="1" ht="37.5">
      <c r="A57" s="14" t="s">
        <v>51</v>
      </c>
      <c r="B57" s="15">
        <f>184700099.88/1000</f>
        <v>184700.09987999999</v>
      </c>
      <c r="C57" s="15">
        <f>183580962.76/1000</f>
        <v>183580.96275999999</v>
      </c>
      <c r="D57" s="25">
        <f t="shared" si="0"/>
        <v>99.39407876837798</v>
      </c>
      <c r="E57" s="40">
        <v>216279.8279</v>
      </c>
      <c r="F57" s="40">
        <v>211641.34424999999</v>
      </c>
      <c r="G57" s="20"/>
      <c r="H57" s="32">
        <f t="shared" si="1"/>
        <v>97.855332281776796</v>
      </c>
      <c r="I57" s="11">
        <f t="shared" si="2"/>
        <v>28060.38149</v>
      </c>
      <c r="J57" s="11">
        <f t="shared" si="3"/>
        <v>115.28501706720213</v>
      </c>
    </row>
    <row r="58" spans="1:10" s="16" customFormat="1">
      <c r="A58" s="14" t="s">
        <v>52</v>
      </c>
      <c r="B58" s="15">
        <f>3085357.2/1000</f>
        <v>3085.3572000000004</v>
      </c>
      <c r="C58" s="15">
        <f>1577843.46/1000</f>
        <v>1577.8434600000001</v>
      </c>
      <c r="D58" s="25">
        <f t="shared" si="0"/>
        <v>51.139733836976795</v>
      </c>
      <c r="E58" s="40">
        <v>95297.155459999994</v>
      </c>
      <c r="F58" s="40">
        <v>90680.870459999991</v>
      </c>
      <c r="G58" s="20"/>
      <c r="H58" s="32">
        <f t="shared" si="1"/>
        <v>95.155904730086476</v>
      </c>
      <c r="I58" s="11">
        <f t="shared" si="2"/>
        <v>89103.026999999987</v>
      </c>
      <c r="J58" s="11">
        <f t="shared" si="3"/>
        <v>5747.1398626578575</v>
      </c>
    </row>
    <row r="59" spans="1:10" s="16" customFormat="1">
      <c r="A59" s="14" t="s">
        <v>53</v>
      </c>
      <c r="B59" s="15">
        <f>3085357.2/1000</f>
        <v>3085.3572000000004</v>
      </c>
      <c r="C59" s="15">
        <f>1577843.46/1000</f>
        <v>1577.8434600000001</v>
      </c>
      <c r="D59" s="25">
        <f t="shared" si="0"/>
        <v>51.139733836976795</v>
      </c>
      <c r="E59" s="40">
        <v>95297.155459999994</v>
      </c>
      <c r="F59" s="40">
        <v>90680.870459999991</v>
      </c>
      <c r="G59" s="20"/>
      <c r="H59" s="32">
        <f t="shared" si="1"/>
        <v>95.155904730086476</v>
      </c>
      <c r="I59" s="11">
        <f t="shared" si="2"/>
        <v>89103.026999999987</v>
      </c>
      <c r="J59" s="11">
        <f t="shared" si="3"/>
        <v>5747.1398626578575</v>
      </c>
    </row>
    <row r="60" spans="1:10" s="16" customFormat="1">
      <c r="A60" s="14" t="s">
        <v>54</v>
      </c>
      <c r="B60" s="15">
        <f>10646309935.24/1000</f>
        <v>10646309.93524</v>
      </c>
      <c r="C60" s="15">
        <f>10305944479.28/1000</f>
        <v>10305944.479280001</v>
      </c>
      <c r="D60" s="25">
        <f t="shared" si="0"/>
        <v>96.802972503802778</v>
      </c>
      <c r="E60" s="40">
        <v>11279924.456049999</v>
      </c>
      <c r="F60" s="40">
        <v>11144953.28957</v>
      </c>
      <c r="G60" s="20"/>
      <c r="H60" s="32">
        <f t="shared" si="1"/>
        <v>98.803439092115482</v>
      </c>
      <c r="I60" s="11">
        <f t="shared" si="2"/>
        <v>839008.81028999947</v>
      </c>
      <c r="J60" s="11">
        <f t="shared" si="3"/>
        <v>108.14101814711712</v>
      </c>
    </row>
    <row r="61" spans="1:10" s="16" customFormat="1">
      <c r="A61" s="14" t="s">
        <v>55</v>
      </c>
      <c r="B61" s="15">
        <f>4917841536.2/1000</f>
        <v>4917841.5362</v>
      </c>
      <c r="C61" s="15">
        <f>4770550857.33/1000</f>
        <v>4770550.85733</v>
      </c>
      <c r="D61" s="25">
        <f t="shared" si="0"/>
        <v>97.004973060115901</v>
      </c>
      <c r="E61" s="40">
        <v>4666040.8778900001</v>
      </c>
      <c r="F61" s="40">
        <v>4589174.0068199998</v>
      </c>
      <c r="G61" s="20"/>
      <c r="H61" s="32">
        <f t="shared" si="1"/>
        <v>98.352631854679345</v>
      </c>
      <c r="I61" s="11">
        <f t="shared" si="2"/>
        <v>-181376.85051000025</v>
      </c>
      <c r="J61" s="11">
        <f t="shared" si="3"/>
        <v>96.197989374092657</v>
      </c>
    </row>
    <row r="62" spans="1:10" s="16" customFormat="1">
      <c r="A62" s="14" t="s">
        <v>56</v>
      </c>
      <c r="B62" s="15">
        <f>4832270418.5/1000</f>
        <v>4832270.4184999997</v>
      </c>
      <c r="C62" s="15">
        <f>4649476324.44/1000</f>
        <v>4649476.3244399996</v>
      </c>
      <c r="D62" s="25">
        <f t="shared" si="0"/>
        <v>96.21722134257665</v>
      </c>
      <c r="E62" s="40">
        <v>5547833.3970499998</v>
      </c>
      <c r="F62" s="40">
        <v>5504779.6825699992</v>
      </c>
      <c r="G62" s="20"/>
      <c r="H62" s="32">
        <f t="shared" si="1"/>
        <v>99.223954444938926</v>
      </c>
      <c r="I62" s="11">
        <f t="shared" si="2"/>
        <v>855303.3581299996</v>
      </c>
      <c r="J62" s="11">
        <f t="shared" si="3"/>
        <v>118.39569229837976</v>
      </c>
    </row>
    <row r="63" spans="1:10" s="16" customFormat="1">
      <c r="A63" s="14" t="s">
        <v>57</v>
      </c>
      <c r="B63" s="15">
        <f>633705354/1000</f>
        <v>633705.35400000005</v>
      </c>
      <c r="C63" s="15">
        <f>628367993.99/1000</f>
        <v>628367.99398999999</v>
      </c>
      <c r="D63" s="25">
        <f t="shared" si="0"/>
        <v>99.157753682163147</v>
      </c>
      <c r="E63" s="40">
        <v>769082.51548000006</v>
      </c>
      <c r="F63" s="40">
        <v>758752.66097000008</v>
      </c>
      <c r="G63" s="20"/>
      <c r="H63" s="32">
        <f t="shared" si="1"/>
        <v>98.656860050504093</v>
      </c>
      <c r="I63" s="11">
        <f t="shared" si="2"/>
        <v>130384.6669800001</v>
      </c>
      <c r="J63" s="11">
        <f t="shared" si="3"/>
        <v>120.7497307671713</v>
      </c>
    </row>
    <row r="64" spans="1:10" s="16" customFormat="1" ht="37.5">
      <c r="A64" s="14" t="s">
        <v>58</v>
      </c>
      <c r="B64" s="15">
        <f>700000/1000</f>
        <v>700</v>
      </c>
      <c r="C64" s="15">
        <f>700000/1000</f>
        <v>700</v>
      </c>
      <c r="D64" s="25">
        <f t="shared" si="0"/>
        <v>100</v>
      </c>
      <c r="E64" s="40">
        <v>800</v>
      </c>
      <c r="F64" s="40">
        <v>800</v>
      </c>
      <c r="G64" s="20"/>
      <c r="H64" s="32">
        <f t="shared" si="1"/>
        <v>100</v>
      </c>
      <c r="I64" s="11">
        <f t="shared" si="2"/>
        <v>100</v>
      </c>
      <c r="J64" s="11">
        <f t="shared" si="3"/>
        <v>114.28571428571428</v>
      </c>
    </row>
    <row r="65" spans="1:10" s="16" customFormat="1">
      <c r="A65" s="14" t="s">
        <v>94</v>
      </c>
      <c r="B65" s="15">
        <f>152440283.58/1000</f>
        <v>152440.28358000002</v>
      </c>
      <c r="C65" s="15">
        <f>148914419.89/1000</f>
        <v>148914.41988999999</v>
      </c>
      <c r="D65" s="25">
        <f t="shared" si="0"/>
        <v>97.687052524964855</v>
      </c>
      <c r="E65" s="40">
        <v>184518.29412999999</v>
      </c>
      <c r="F65" s="40">
        <v>182669.88028000001</v>
      </c>
      <c r="G65" s="20"/>
      <c r="H65" s="32">
        <f t="shared" si="1"/>
        <v>98.998249003593259</v>
      </c>
      <c r="I65" s="11">
        <f t="shared" si="2"/>
        <v>33755.460390000022</v>
      </c>
      <c r="J65" s="11">
        <f t="shared" si="3"/>
        <v>122.66769088912577</v>
      </c>
    </row>
    <row r="66" spans="1:10" s="16" customFormat="1">
      <c r="A66" s="14" t="s">
        <v>59</v>
      </c>
      <c r="B66" s="15">
        <f>109352342.96/1000</f>
        <v>109352.34295999999</v>
      </c>
      <c r="C66" s="15">
        <f>107934883.63/1000</f>
        <v>107934.88363</v>
      </c>
      <c r="D66" s="25">
        <f t="shared" si="0"/>
        <v>98.703768669576206</v>
      </c>
      <c r="E66" s="40">
        <v>111649.37149999999</v>
      </c>
      <c r="F66" s="40">
        <v>108777.05893000001</v>
      </c>
      <c r="G66" s="20"/>
      <c r="H66" s="32">
        <f t="shared" si="1"/>
        <v>97.427381335505331</v>
      </c>
      <c r="I66" s="11">
        <f t="shared" si="2"/>
        <v>842.17530000001716</v>
      </c>
      <c r="J66" s="11">
        <f t="shared" si="3"/>
        <v>100.78026238754005</v>
      </c>
    </row>
    <row r="67" spans="1:10" s="16" customFormat="1">
      <c r="A67" s="14" t="s">
        <v>60</v>
      </c>
      <c r="B67" s="15">
        <f>574936547.81/1000</f>
        <v>574936.5478099999</v>
      </c>
      <c r="C67" s="15">
        <f>517661954.99/1000</f>
        <v>517661.95499</v>
      </c>
      <c r="D67" s="25">
        <f t="shared" si="0"/>
        <v>90.038101936958867</v>
      </c>
      <c r="E67" s="40">
        <v>716527.17729999998</v>
      </c>
      <c r="F67" s="40">
        <v>637088.48612999998</v>
      </c>
      <c r="G67" s="20"/>
      <c r="H67" s="32">
        <f t="shared" si="1"/>
        <v>88.91337360442644</v>
      </c>
      <c r="I67" s="11">
        <f t="shared" si="2"/>
        <v>119426.53113999998</v>
      </c>
      <c r="J67" s="11">
        <f t="shared" si="3"/>
        <v>123.07037053598174</v>
      </c>
    </row>
    <row r="68" spans="1:10" s="16" customFormat="1">
      <c r="A68" s="14" t="s">
        <v>61</v>
      </c>
      <c r="B68" s="15">
        <f>544806047.81/1000</f>
        <v>544806.0478099999</v>
      </c>
      <c r="C68" s="15">
        <f>487531454.99/1000</f>
        <v>487531.45499</v>
      </c>
      <c r="D68" s="25">
        <f t="shared" si="0"/>
        <v>89.487159136681555</v>
      </c>
      <c r="E68" s="40">
        <v>685042.33529999992</v>
      </c>
      <c r="F68" s="40">
        <v>605603.64413000003</v>
      </c>
      <c r="G68" s="20"/>
      <c r="H68" s="32">
        <f t="shared" si="1"/>
        <v>88.403827460501191</v>
      </c>
      <c r="I68" s="11">
        <f t="shared" si="2"/>
        <v>118072.18914000003</v>
      </c>
      <c r="J68" s="11">
        <f t="shared" si="3"/>
        <v>124.21837359036083</v>
      </c>
    </row>
    <row r="69" spans="1:10" s="16" customFormat="1">
      <c r="A69" s="14" t="s">
        <v>62</v>
      </c>
      <c r="B69" s="15">
        <f>30130500/1000</f>
        <v>30130.5</v>
      </c>
      <c r="C69" s="15">
        <f>30130500/1000</f>
        <v>30130.5</v>
      </c>
      <c r="D69" s="25">
        <f t="shared" si="0"/>
        <v>100</v>
      </c>
      <c r="E69" s="40">
        <v>31484.842000000001</v>
      </c>
      <c r="F69" s="40">
        <v>31484.842000000001</v>
      </c>
      <c r="G69" s="20"/>
      <c r="H69" s="32">
        <f t="shared" si="1"/>
        <v>100</v>
      </c>
      <c r="I69" s="11">
        <f t="shared" si="2"/>
        <v>1354.3420000000006</v>
      </c>
      <c r="J69" s="11">
        <f t="shared" si="3"/>
        <v>104.49492042946515</v>
      </c>
    </row>
    <row r="70" spans="1:10" s="16" customFormat="1">
      <c r="A70" s="14" t="s">
        <v>63</v>
      </c>
      <c r="B70" s="15">
        <f>546169999.7/1000</f>
        <v>546169.99970000004</v>
      </c>
      <c r="C70" s="15">
        <f>437465094.45/1000</f>
        <v>437465.09444999998</v>
      </c>
      <c r="D70" s="25">
        <f t="shared" si="0"/>
        <v>80.096873627312121</v>
      </c>
      <c r="E70" s="40">
        <v>760179.82187999994</v>
      </c>
      <c r="F70" s="40">
        <v>617800.71179999993</v>
      </c>
      <c r="G70" s="20"/>
      <c r="H70" s="32">
        <f t="shared" si="1"/>
        <v>81.270338151322889</v>
      </c>
      <c r="I70" s="11">
        <f t="shared" si="2"/>
        <v>180335.61734999996</v>
      </c>
      <c r="J70" s="11">
        <f t="shared" si="3"/>
        <v>141.22285860926246</v>
      </c>
    </row>
    <row r="71" spans="1:10" s="16" customFormat="1">
      <c r="A71" s="14" t="s">
        <v>64</v>
      </c>
      <c r="B71" s="15">
        <f>77483495.02/1000</f>
        <v>77483.495020000002</v>
      </c>
      <c r="C71" s="15">
        <f>76921048.99/1000</f>
        <v>76921.048989999996</v>
      </c>
      <c r="D71" s="25">
        <f t="shared" si="0"/>
        <v>99.274108595830853</v>
      </c>
      <c r="E71" s="40">
        <v>84769.769150000007</v>
      </c>
      <c r="F71" s="40">
        <v>84642.069560000004</v>
      </c>
      <c r="G71" s="20"/>
      <c r="H71" s="32">
        <f t="shared" si="1"/>
        <v>99.849357157297376</v>
      </c>
      <c r="I71" s="11">
        <f t="shared" si="2"/>
        <v>7721.0205700000079</v>
      </c>
      <c r="J71" s="11">
        <f t="shared" si="3"/>
        <v>110.037591363326</v>
      </c>
    </row>
    <row r="72" spans="1:10" s="16" customFormat="1">
      <c r="A72" s="14" t="s">
        <v>65</v>
      </c>
      <c r="B72" s="15">
        <f>156011368.82/1000</f>
        <v>156011.36882</v>
      </c>
      <c r="C72" s="15">
        <f>150875495.08/1000</f>
        <v>150875.49508000002</v>
      </c>
      <c r="D72" s="25">
        <f t="shared" si="0"/>
        <v>96.708013153883968</v>
      </c>
      <c r="E72" s="40">
        <v>306235.03456</v>
      </c>
      <c r="F72" s="40">
        <v>281864.98350999999</v>
      </c>
      <c r="G72" s="20"/>
      <c r="H72" s="32">
        <f t="shared" si="1"/>
        <v>92.042043430786748</v>
      </c>
      <c r="I72" s="11">
        <f t="shared" si="2"/>
        <v>130989.48842999997</v>
      </c>
      <c r="J72" s="11">
        <f t="shared" si="3"/>
        <v>186.81959145223965</v>
      </c>
    </row>
    <row r="73" spans="1:10" s="16" customFormat="1">
      <c r="A73" s="14" t="s">
        <v>66</v>
      </c>
      <c r="B73" s="15">
        <f>258852500/1000</f>
        <v>258852.5</v>
      </c>
      <c r="C73" s="15">
        <f>155908357.05/1000</f>
        <v>155908.35705000002</v>
      </c>
      <c r="D73" s="25">
        <f t="shared" ref="D73:D90" si="4">C73/B73*100</f>
        <v>60.230578051206777</v>
      </c>
      <c r="E73" s="40">
        <v>291907.14854999998</v>
      </c>
      <c r="F73" s="40">
        <v>181105.28417</v>
      </c>
      <c r="G73" s="20"/>
      <c r="H73" s="32">
        <f t="shared" si="1"/>
        <v>62.04208600906496</v>
      </c>
      <c r="I73" s="11">
        <f t="shared" ref="I73:I90" si="5">F73-C73</f>
        <v>25196.927119999978</v>
      </c>
      <c r="J73" s="11">
        <f t="shared" si="3"/>
        <v>116.16137043373453</v>
      </c>
    </row>
    <row r="74" spans="1:10" s="16" customFormat="1">
      <c r="A74" s="14" t="s">
        <v>67</v>
      </c>
      <c r="B74" s="15">
        <f>53822635.86/1000</f>
        <v>53822.635860000002</v>
      </c>
      <c r="C74" s="15">
        <f>53760193.33/1000</f>
        <v>53760.193329999995</v>
      </c>
      <c r="D74" s="25">
        <f t="shared" si="4"/>
        <v>99.883984630254034</v>
      </c>
      <c r="E74" s="40">
        <v>77267.869619999998</v>
      </c>
      <c r="F74" s="40">
        <v>70188.374559999997</v>
      </c>
      <c r="G74" s="20"/>
      <c r="H74" s="32">
        <f t="shared" ref="H74:H90" si="6">F74/E74*100</f>
        <v>90.837724535674852</v>
      </c>
      <c r="I74" s="11">
        <f t="shared" si="5"/>
        <v>16428.181230000002</v>
      </c>
      <c r="J74" s="11">
        <f t="shared" ref="J74:J90" si="7">F74/C74*100</f>
        <v>130.5582629310087</v>
      </c>
    </row>
    <row r="75" spans="1:10" s="16" customFormat="1">
      <c r="A75" s="14" t="s">
        <v>68</v>
      </c>
      <c r="B75" s="15">
        <f>388245813.24/1000</f>
        <v>388245.81323999999</v>
      </c>
      <c r="C75" s="15">
        <f>331985987.71/1000</f>
        <v>331985.98770999996</v>
      </c>
      <c r="D75" s="25">
        <f t="shared" si="4"/>
        <v>85.509225441351461</v>
      </c>
      <c r="E75" s="40">
        <v>527965.69449999998</v>
      </c>
      <c r="F75" s="40">
        <v>506928.94470999995</v>
      </c>
      <c r="G75" s="20"/>
      <c r="H75" s="32">
        <f t="shared" si="6"/>
        <v>96.015508202683037</v>
      </c>
      <c r="I75" s="11">
        <f t="shared" si="5"/>
        <v>174942.95699999999</v>
      </c>
      <c r="J75" s="11">
        <f t="shared" si="7"/>
        <v>152.69588581335489</v>
      </c>
    </row>
    <row r="76" spans="1:10" s="16" customFormat="1">
      <c r="A76" s="14" t="s">
        <v>69</v>
      </c>
      <c r="B76" s="15">
        <f>355987925.65/1000</f>
        <v>355987.92564999999</v>
      </c>
      <c r="C76" s="15">
        <f>306516061.22/1000</f>
        <v>306516.06122000003</v>
      </c>
      <c r="D76" s="25">
        <f t="shared" si="4"/>
        <v>86.102937525291324</v>
      </c>
      <c r="E76" s="40">
        <v>500207.50334</v>
      </c>
      <c r="F76" s="40">
        <v>483619.49108999997</v>
      </c>
      <c r="G76" s="20"/>
      <c r="H76" s="32">
        <f t="shared" si="6"/>
        <v>96.683773806022884</v>
      </c>
      <c r="I76" s="11">
        <f t="shared" si="5"/>
        <v>177103.42986999993</v>
      </c>
      <c r="J76" s="11">
        <f t="shared" si="7"/>
        <v>157.77949421804851</v>
      </c>
    </row>
    <row r="77" spans="1:10" s="16" customFormat="1">
      <c r="A77" s="14" t="s">
        <v>70</v>
      </c>
      <c r="B77" s="15">
        <f>13153960.6/1000</f>
        <v>13153.9606</v>
      </c>
      <c r="C77" s="15">
        <f>13153960.6/1000</f>
        <v>13153.9606</v>
      </c>
      <c r="D77" s="25">
        <f t="shared" si="4"/>
        <v>100</v>
      </c>
      <c r="E77" s="40">
        <v>7566.3940000000002</v>
      </c>
      <c r="F77" s="40">
        <v>7566.3940000000002</v>
      </c>
      <c r="G77" s="20"/>
      <c r="H77" s="32">
        <f t="shared" si="6"/>
        <v>100</v>
      </c>
      <c r="I77" s="11">
        <f t="shared" si="5"/>
        <v>-5587.5666000000001</v>
      </c>
      <c r="J77" s="11">
        <f t="shared" si="7"/>
        <v>57.521793094013077</v>
      </c>
    </row>
    <row r="78" spans="1:10" s="16" customFormat="1" ht="37.5">
      <c r="A78" s="14" t="s">
        <v>71</v>
      </c>
      <c r="B78" s="15">
        <f>19103926.99/1000</f>
        <v>19103.92699</v>
      </c>
      <c r="C78" s="15">
        <f>12315965.89/1000</f>
        <v>12315.965890000001</v>
      </c>
      <c r="D78" s="25">
        <f t="shared" si="4"/>
        <v>64.468242034461426</v>
      </c>
      <c r="E78" s="40">
        <v>16488.093830000002</v>
      </c>
      <c r="F78" s="40">
        <v>12039.35629</v>
      </c>
      <c r="G78" s="20"/>
      <c r="H78" s="32">
        <f t="shared" si="6"/>
        <v>73.018484817780774</v>
      </c>
      <c r="I78" s="11">
        <f t="shared" si="5"/>
        <v>-276.60960000000159</v>
      </c>
      <c r="J78" s="11">
        <f t="shared" si="7"/>
        <v>97.754056787177404</v>
      </c>
    </row>
    <row r="79" spans="1:10" s="16" customFormat="1">
      <c r="A79" s="14" t="s">
        <v>72</v>
      </c>
      <c r="B79" s="15">
        <f>59538040/1000</f>
        <v>59538.04</v>
      </c>
      <c r="C79" s="15">
        <f>58102604.36/1000</f>
        <v>58102.604359999998</v>
      </c>
      <c r="D79" s="25">
        <f t="shared" si="4"/>
        <v>97.589044516749297</v>
      </c>
      <c r="E79" s="40">
        <v>67868.507060000004</v>
      </c>
      <c r="F79" s="40">
        <v>66294.805110000001</v>
      </c>
      <c r="G79" s="20"/>
      <c r="H79" s="32">
        <f t="shared" si="6"/>
        <v>97.681248611217057</v>
      </c>
      <c r="I79" s="11">
        <f t="shared" si="5"/>
        <v>8192.2007500000036</v>
      </c>
      <c r="J79" s="11">
        <f t="shared" si="7"/>
        <v>114.09954138930098</v>
      </c>
    </row>
    <row r="80" spans="1:10" s="16" customFormat="1">
      <c r="A80" s="14" t="s">
        <v>91</v>
      </c>
      <c r="B80" s="15">
        <f>3030000/1000</f>
        <v>3030</v>
      </c>
      <c r="C80" s="15">
        <f>3030000/1000</f>
        <v>3030</v>
      </c>
      <c r="D80" s="25">
        <v>0</v>
      </c>
      <c r="E80" s="40">
        <v>13274.38</v>
      </c>
      <c r="F80" s="40">
        <v>13274.38</v>
      </c>
      <c r="G80" s="20"/>
      <c r="H80" s="32">
        <f t="shared" si="6"/>
        <v>100</v>
      </c>
      <c r="I80" s="11">
        <f t="shared" ref="I80" si="8">F80-C80</f>
        <v>10244.379999999999</v>
      </c>
      <c r="J80" s="11">
        <f t="shared" si="7"/>
        <v>438.09834983498348</v>
      </c>
    </row>
    <row r="81" spans="1:12" s="16" customFormat="1">
      <c r="A81" s="14" t="s">
        <v>73</v>
      </c>
      <c r="B81" s="15">
        <f>56508040/1000</f>
        <v>56508.04</v>
      </c>
      <c r="C81" s="15">
        <f>55072604.36/1000</f>
        <v>55072.604359999998</v>
      </c>
      <c r="D81" s="25">
        <f t="shared" si="4"/>
        <v>97.459767424246166</v>
      </c>
      <c r="E81" s="40">
        <v>54594.127059999999</v>
      </c>
      <c r="F81" s="40">
        <v>53020.425109999996</v>
      </c>
      <c r="G81" s="20"/>
      <c r="H81" s="32">
        <f t="shared" si="6"/>
        <v>97.117451940809545</v>
      </c>
      <c r="I81" s="11">
        <f t="shared" si="5"/>
        <v>-2052.179250000001</v>
      </c>
      <c r="J81" s="11">
        <f t="shared" si="7"/>
        <v>96.27368403247236</v>
      </c>
    </row>
    <row r="82" spans="1:12" s="16" customFormat="1" ht="37.5">
      <c r="A82" s="14" t="s">
        <v>74</v>
      </c>
      <c r="B82" s="15">
        <f>2882411.95/1000</f>
        <v>2882.4119500000002</v>
      </c>
      <c r="C82" s="15">
        <f>2803433.58/1000</f>
        <v>2803.4335799999999</v>
      </c>
      <c r="D82" s="25">
        <f t="shared" si="4"/>
        <v>97.259990196751716</v>
      </c>
      <c r="E82" s="40">
        <v>515.09528999999998</v>
      </c>
      <c r="F82" s="40">
        <v>512.25997999999993</v>
      </c>
      <c r="G82" s="20"/>
      <c r="H82" s="32">
        <f t="shared" si="6"/>
        <v>99.449556217064213</v>
      </c>
      <c r="I82" s="11">
        <f t="shared" si="5"/>
        <v>-2291.1736000000001</v>
      </c>
      <c r="J82" s="11">
        <f t="shared" si="7"/>
        <v>18.272591997703046</v>
      </c>
    </row>
    <row r="83" spans="1:12" s="16" customFormat="1" ht="37.5">
      <c r="A83" s="14" t="s">
        <v>75</v>
      </c>
      <c r="B83" s="15">
        <f>2882411.95/1000</f>
        <v>2882.4119500000002</v>
      </c>
      <c r="C83" s="15">
        <f>2803433.58/1000</f>
        <v>2803.4335799999999</v>
      </c>
      <c r="D83" s="25">
        <f t="shared" si="4"/>
        <v>97.259990196751716</v>
      </c>
      <c r="E83" s="40">
        <v>515.09528999999998</v>
      </c>
      <c r="F83" s="40">
        <v>512.25997999999993</v>
      </c>
      <c r="G83" s="20"/>
      <c r="H83" s="32">
        <f t="shared" si="6"/>
        <v>99.449556217064213</v>
      </c>
      <c r="I83" s="11">
        <f t="shared" si="5"/>
        <v>-2291.1736000000001</v>
      </c>
      <c r="J83" s="11">
        <f t="shared" si="7"/>
        <v>18.272591997703046</v>
      </c>
    </row>
    <row r="84" spans="1:12" s="16" customFormat="1" ht="56.25">
      <c r="A84" s="14" t="s">
        <v>76</v>
      </c>
      <c r="B84" s="15">
        <f>1135668.1/1000</f>
        <v>1135.6681000000001</v>
      </c>
      <c r="C84" s="15">
        <v>0</v>
      </c>
      <c r="D84" s="25">
        <f t="shared" si="4"/>
        <v>0</v>
      </c>
      <c r="E84" s="40">
        <v>68682.425690000004</v>
      </c>
      <c r="F84" s="15">
        <v>0</v>
      </c>
      <c r="G84" s="20"/>
      <c r="H84" s="32">
        <f t="shared" si="6"/>
        <v>0</v>
      </c>
      <c r="I84" s="11">
        <f t="shared" si="5"/>
        <v>0</v>
      </c>
      <c r="J84" s="11"/>
    </row>
    <row r="85" spans="1:12" s="16" customFormat="1" ht="56.25">
      <c r="A85" s="14" t="s">
        <v>77</v>
      </c>
      <c r="B85" s="15">
        <v>0</v>
      </c>
      <c r="C85" s="15">
        <v>0</v>
      </c>
      <c r="D85" s="25">
        <v>0</v>
      </c>
      <c r="E85" s="15">
        <v>0</v>
      </c>
      <c r="F85" s="15">
        <v>0</v>
      </c>
      <c r="G85" s="20"/>
      <c r="H85" s="32">
        <v>0</v>
      </c>
      <c r="I85" s="11">
        <f t="shared" si="5"/>
        <v>0</v>
      </c>
      <c r="J85" s="11"/>
    </row>
    <row r="86" spans="1:12" s="16" customFormat="1" ht="19.5" thickBot="1">
      <c r="A86" s="14" t="s">
        <v>78</v>
      </c>
      <c r="B86" s="15">
        <f>1135668.1/1000</f>
        <v>1135.6681000000001</v>
      </c>
      <c r="C86" s="15">
        <v>0</v>
      </c>
      <c r="D86" s="25">
        <f t="shared" si="4"/>
        <v>0</v>
      </c>
      <c r="E86" s="40">
        <v>68682.425690000004</v>
      </c>
      <c r="F86" s="15">
        <v>0</v>
      </c>
      <c r="G86" s="20"/>
      <c r="H86" s="32">
        <f t="shared" si="6"/>
        <v>0</v>
      </c>
      <c r="I86" s="11">
        <f t="shared" si="5"/>
        <v>0</v>
      </c>
      <c r="J86" s="11"/>
    </row>
    <row r="87" spans="1:12" s="16" customFormat="1">
      <c r="A87" s="17" t="s">
        <v>79</v>
      </c>
      <c r="B87" s="18">
        <f>-887693026.06/1000</f>
        <v>-887693.02605999995</v>
      </c>
      <c r="C87" s="18">
        <f>464779981.01/1000</f>
        <v>464779.98100999999</v>
      </c>
      <c r="D87" s="25">
        <f t="shared" si="4"/>
        <v>-52.358187725424933</v>
      </c>
      <c r="E87" s="39">
        <v>-1272535.9448199999</v>
      </c>
      <c r="F87" s="41">
        <v>254828.56388</v>
      </c>
      <c r="G87" s="20"/>
      <c r="H87" s="32">
        <f t="shared" si="6"/>
        <v>-20.025254682770118</v>
      </c>
      <c r="I87" s="11">
        <f t="shared" si="5"/>
        <v>-209951.41712999999</v>
      </c>
      <c r="J87" s="11">
        <f t="shared" si="7"/>
        <v>54.827783960539648</v>
      </c>
      <c r="K87" s="31"/>
      <c r="L87" s="31"/>
    </row>
    <row r="88" spans="1:12">
      <c r="A88" s="19" t="s">
        <v>80</v>
      </c>
      <c r="B88" s="8">
        <f>887693026.06/1000</f>
        <v>887693.02605999995</v>
      </c>
      <c r="C88" s="8">
        <f>-464779981.01/1000</f>
        <v>-464779.98100999999</v>
      </c>
      <c r="D88" s="25">
        <f t="shared" si="4"/>
        <v>-52.358187725424933</v>
      </c>
      <c r="E88" s="39">
        <v>1272535.9448199999</v>
      </c>
      <c r="F88" s="39">
        <v>-254828.56388</v>
      </c>
      <c r="G88" s="20"/>
      <c r="H88" s="32">
        <f t="shared" si="6"/>
        <v>-20.025254682770118</v>
      </c>
      <c r="I88" s="11">
        <f t="shared" si="5"/>
        <v>209951.41712999999</v>
      </c>
      <c r="J88" s="11">
        <f t="shared" si="7"/>
        <v>54.827783960539648</v>
      </c>
      <c r="K88" s="27"/>
    </row>
    <row r="89" spans="1:12">
      <c r="A89" s="21" t="s">
        <v>81</v>
      </c>
      <c r="B89" s="13"/>
      <c r="C89" s="13"/>
      <c r="D89" s="26"/>
      <c r="E89" s="13">
        <v>0</v>
      </c>
      <c r="F89" s="13">
        <v>0</v>
      </c>
      <c r="G89" s="20"/>
      <c r="H89" s="32" t="s">
        <v>86</v>
      </c>
      <c r="I89" s="11" t="s">
        <v>86</v>
      </c>
      <c r="J89" s="11"/>
    </row>
    <row r="90" spans="1:12">
      <c r="A90" s="22" t="s">
        <v>82</v>
      </c>
      <c r="B90" s="15">
        <f>-100058212/1000</f>
        <v>-100058.212</v>
      </c>
      <c r="C90" s="15">
        <f>-108494142/1000</f>
        <v>-108494.14200000001</v>
      </c>
      <c r="D90" s="25">
        <f t="shared" si="4"/>
        <v>108.4310221333957</v>
      </c>
      <c r="E90" s="40">
        <v>-183.148</v>
      </c>
      <c r="F90" s="40">
        <v>-10683.147999999999</v>
      </c>
      <c r="G90" s="20"/>
      <c r="H90" s="10">
        <f t="shared" si="6"/>
        <v>5833.0683381745903</v>
      </c>
      <c r="I90" s="11">
        <f t="shared" si="5"/>
        <v>97810.994000000006</v>
      </c>
      <c r="J90" s="11">
        <f t="shared" si="7"/>
        <v>9.8467509886386289</v>
      </c>
    </row>
    <row r="92" spans="1:12">
      <c r="B92" s="27"/>
      <c r="J92" s="27"/>
      <c r="K92" s="27"/>
    </row>
  </sheetData>
  <mergeCells count="8">
    <mergeCell ref="J4:J6"/>
    <mergeCell ref="A4:A6"/>
    <mergeCell ref="D5:D6"/>
    <mergeCell ref="A1:J3"/>
    <mergeCell ref="B4:D4"/>
    <mergeCell ref="E4:H4"/>
    <mergeCell ref="H5:H6"/>
    <mergeCell ref="I4:I6"/>
  </mergeCells>
  <pageMargins left="0.78749999999999998" right="0.3152778" top="0.59027779999999996" bottom="0.39374999999999999" header="0" footer="0"/>
  <pageSetup paperSize="9" scale="45" orientation="landscape" r:id="rId1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C71A793-A51F-445A-B547-6325289BFD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Информация</vt:lpstr>
      <vt:lpstr>Информация!Заголовки_для_печати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Афанасьева</cp:lastModifiedBy>
  <cp:lastPrinted>2021-04-16T09:32:09Z</cp:lastPrinted>
  <dcterms:created xsi:type="dcterms:W3CDTF">2019-10-28T07:22:02Z</dcterms:created>
  <dcterms:modified xsi:type="dcterms:W3CDTF">2021-04-19T08:29:59Z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SV_0503317G_20160101_2.xlsx</vt:lpwstr>
  </property>
  <property fmtid="{D5CDD505-2E9C-101B-9397-08002B2CF9AE}" pid="3" name="Название отчета">
    <vt:lpwstr>SV_0503317G_20160101_2.xlsx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SV_0503317G_20160101</vt:lpwstr>
  </property>
  <property fmtid="{D5CDD505-2E9C-101B-9397-08002B2CF9AE}" pid="11" name="Локальная база">
    <vt:lpwstr>используется</vt:lpwstr>
  </property>
</Properties>
</file>